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Munna\Work\Corp\Quarterly 2022-23\Q2 FY 2022-23\"/>
    </mc:Choice>
  </mc:AlternateContent>
  <bookViews>
    <workbookView xWindow="0" yWindow="0" windowWidth="20490" windowHeight="7455" activeTab="1"/>
  </bookViews>
  <sheets>
    <sheet name="3.1" sheetId="3" r:id="rId1"/>
    <sheet name="3.2" sheetId="2" r:id="rId2"/>
  </sheets>
  <definedNames>
    <definedName name="_xlnm.Print_Area" localSheetId="1">'3.2'!$A$4:$L$54,'3.2'!$A$57:$L$116,'3.2'!$A$120:$L$197</definedName>
    <definedName name="_xlnm.Print_Titles" localSheetId="1">'3.2'!$B:$B</definedName>
    <definedName name="Slicer_State">#N/A</definedName>
  </definedNames>
  <calcPr calcId="152511"/>
</workbook>
</file>

<file path=xl/calcChain.xml><?xml version="1.0" encoding="utf-8"?>
<calcChain xmlns="http://schemas.openxmlformats.org/spreadsheetml/2006/main">
  <c r="E98" i="2" l="1"/>
  <c r="E144" i="2"/>
  <c r="C71" i="2" l="1"/>
  <c r="E156" i="2"/>
  <c r="E160" i="2"/>
  <c r="E153" i="2"/>
  <c r="E155" i="2"/>
  <c r="E140" i="2"/>
  <c r="E137" i="2"/>
  <c r="E139" i="2"/>
  <c r="C144" i="2" l="1"/>
  <c r="C98" i="2"/>
  <c r="J98" i="2"/>
  <c r="J144" i="2"/>
  <c r="H144" i="2"/>
  <c r="H98" i="2"/>
  <c r="F144" i="2"/>
  <c r="F98" i="2"/>
  <c r="D144" i="2"/>
  <c r="D98" i="2"/>
  <c r="F111" i="2" l="1"/>
  <c r="F14" i="2"/>
  <c r="D111" i="2" l="1"/>
  <c r="J160" i="2" l="1"/>
  <c r="J156" i="2"/>
  <c r="J155" i="2"/>
  <c r="J154" i="2"/>
  <c r="J153" i="2"/>
  <c r="J152" i="2"/>
  <c r="H160" i="2"/>
  <c r="H156" i="2"/>
  <c r="H155" i="2"/>
  <c r="H154" i="2"/>
  <c r="H153" i="2"/>
  <c r="H152" i="2"/>
  <c r="F160" i="2"/>
  <c r="F156" i="2"/>
  <c r="F155" i="2"/>
  <c r="F154" i="2"/>
  <c r="F153" i="2"/>
  <c r="F152" i="2"/>
  <c r="D160" i="2"/>
  <c r="D156" i="2"/>
  <c r="D155" i="2"/>
  <c r="D154" i="2"/>
  <c r="D153" i="2"/>
  <c r="D152" i="2"/>
  <c r="C160" i="2"/>
  <c r="C156" i="2"/>
  <c r="C155" i="2"/>
  <c r="C154" i="2"/>
  <c r="C153" i="2"/>
  <c r="C152" i="2"/>
  <c r="J140" i="2"/>
  <c r="J139" i="2"/>
  <c r="J138" i="2"/>
  <c r="J137" i="2"/>
  <c r="J136" i="2"/>
  <c r="H140" i="2"/>
  <c r="H139" i="2"/>
  <c r="H138" i="2"/>
  <c r="H137" i="2"/>
  <c r="H136" i="2"/>
  <c r="F140" i="2"/>
  <c r="F139" i="2"/>
  <c r="F138" i="2"/>
  <c r="F137" i="2"/>
  <c r="F136" i="2"/>
  <c r="D140" i="2"/>
  <c r="D139" i="2"/>
  <c r="D138" i="2"/>
  <c r="D137" i="2"/>
  <c r="D136" i="2"/>
  <c r="C140" i="2" l="1"/>
  <c r="C139" i="2"/>
  <c r="C138" i="2"/>
  <c r="C137" i="2"/>
  <c r="C136" i="2"/>
  <c r="C67" i="2" l="1"/>
  <c r="D41" i="2" l="1"/>
  <c r="D79" i="2" l="1"/>
  <c r="E79" i="2"/>
  <c r="F79" i="2"/>
  <c r="G79" i="2"/>
  <c r="H79" i="2"/>
  <c r="I79" i="2"/>
  <c r="J79" i="2"/>
  <c r="C79" i="2"/>
  <c r="D74" i="2"/>
  <c r="D84" i="2" s="1"/>
  <c r="E74" i="2"/>
  <c r="F74" i="2"/>
  <c r="G74" i="2"/>
  <c r="G84" i="2" s="1"/>
  <c r="H74" i="2"/>
  <c r="H84" i="2" s="1"/>
  <c r="I74" i="2"/>
  <c r="J74" i="2"/>
  <c r="C74" i="2"/>
  <c r="C131" i="2" s="1"/>
  <c r="E84" i="2"/>
  <c r="F84" i="2"/>
  <c r="I84" i="2"/>
  <c r="J84" i="2"/>
  <c r="D62" i="2"/>
  <c r="D68" i="2" s="1"/>
  <c r="E62" i="2"/>
  <c r="E68" i="2" s="1"/>
  <c r="F62" i="2"/>
  <c r="F68" i="2" s="1"/>
  <c r="G62" i="2"/>
  <c r="G68" i="2" s="1"/>
  <c r="H62" i="2"/>
  <c r="H68" i="2" s="1"/>
  <c r="I62" i="2"/>
  <c r="I68" i="2" s="1"/>
  <c r="J62" i="2"/>
  <c r="J68" i="2" s="1"/>
  <c r="C62" i="2"/>
  <c r="C68" i="2" s="1"/>
  <c r="C84" i="2" l="1"/>
  <c r="K152" i="2"/>
  <c r="L162" i="2"/>
  <c r="K162" i="2"/>
  <c r="L161" i="2"/>
  <c r="K161" i="2"/>
  <c r="L160" i="2"/>
  <c r="K160" i="2"/>
  <c r="L159" i="2"/>
  <c r="K159" i="2"/>
  <c r="L158" i="2"/>
  <c r="K158" i="2"/>
  <c r="J157" i="2"/>
  <c r="J163" i="2" s="1"/>
  <c r="I157" i="2"/>
  <c r="I163" i="2" s="1"/>
  <c r="H157" i="2"/>
  <c r="H163" i="2" s="1"/>
  <c r="G157" i="2"/>
  <c r="G163" i="2" s="1"/>
  <c r="F157" i="2"/>
  <c r="F163" i="2" s="1"/>
  <c r="E157" i="2"/>
  <c r="E163" i="2" s="1"/>
  <c r="D157" i="2"/>
  <c r="D163" i="2" s="1"/>
  <c r="C157" i="2"/>
  <c r="C163" i="2" s="1"/>
  <c r="L156" i="2"/>
  <c r="K156" i="2"/>
  <c r="L155" i="2"/>
  <c r="K155" i="2"/>
  <c r="L154" i="2"/>
  <c r="K154" i="2"/>
  <c r="L153" i="2"/>
  <c r="K153" i="2"/>
  <c r="L152" i="2"/>
  <c r="K151" i="2"/>
  <c r="I151" i="2"/>
  <c r="G151" i="2"/>
  <c r="E151" i="2"/>
  <c r="C151" i="2"/>
  <c r="K157" i="2" l="1"/>
  <c r="K163" i="2" s="1"/>
  <c r="L157" i="2"/>
  <c r="L163" i="2" s="1"/>
  <c r="L111" i="2"/>
  <c r="L110" i="2"/>
  <c r="K111" i="2"/>
  <c r="K110" i="2"/>
  <c r="K36" i="2" l="1"/>
  <c r="I36" i="2"/>
  <c r="G36" i="2"/>
  <c r="E36" i="2"/>
  <c r="C36" i="2"/>
  <c r="I21" i="2"/>
  <c r="J21" i="2"/>
  <c r="AB177" i="2"/>
  <c r="AC177" i="2"/>
  <c r="AD177" i="2"/>
  <c r="AE177" i="2"/>
  <c r="AF177" i="2"/>
  <c r="AA177" i="2"/>
  <c r="J214" i="2" l="1"/>
  <c r="J216" i="2" s="1"/>
  <c r="I214" i="2"/>
  <c r="I215" i="2" s="1"/>
  <c r="H214" i="2"/>
  <c r="H216" i="2" s="1"/>
  <c r="G214" i="2"/>
  <c r="G215" i="2" s="1"/>
  <c r="F214" i="2"/>
  <c r="F216" i="2" s="1"/>
  <c r="E214" i="2"/>
  <c r="E215" i="2" s="1"/>
  <c r="D214" i="2"/>
  <c r="D216" i="2" s="1"/>
  <c r="C214" i="2"/>
  <c r="C215" i="2" s="1"/>
  <c r="J207" i="2"/>
  <c r="H207" i="2"/>
  <c r="F207" i="2"/>
  <c r="D207" i="2"/>
  <c r="I206" i="2"/>
  <c r="G206" i="2"/>
  <c r="E206" i="2"/>
  <c r="C206" i="2"/>
  <c r="J205" i="2"/>
  <c r="H205" i="2"/>
  <c r="F205" i="2"/>
  <c r="D205" i="2"/>
  <c r="I204" i="2"/>
  <c r="G204" i="2"/>
  <c r="E204" i="2"/>
  <c r="C204" i="2"/>
  <c r="J193" i="2"/>
  <c r="I193" i="2"/>
  <c r="I100" i="2" s="1"/>
  <c r="H193" i="2"/>
  <c r="G193" i="2"/>
  <c r="G100" i="2" s="1"/>
  <c r="F193" i="2"/>
  <c r="E193" i="2"/>
  <c r="D193" i="2"/>
  <c r="C193" i="2"/>
  <c r="L192" i="2"/>
  <c r="K192" i="2"/>
  <c r="L191" i="2"/>
  <c r="K191" i="2"/>
  <c r="L190" i="2"/>
  <c r="K190" i="2"/>
  <c r="K188" i="2"/>
  <c r="I188" i="2"/>
  <c r="G188" i="2"/>
  <c r="E188" i="2"/>
  <c r="C188" i="2"/>
  <c r="AF183" i="2"/>
  <c r="AE183" i="2"/>
  <c r="AD183" i="2"/>
  <c r="AC183" i="2"/>
  <c r="AB183" i="2"/>
  <c r="AA183" i="2"/>
  <c r="AF182" i="2"/>
  <c r="AE182" i="2"/>
  <c r="AD182" i="2"/>
  <c r="AC182" i="2"/>
  <c r="AB182" i="2"/>
  <c r="AA182" i="2"/>
  <c r="AF181" i="2"/>
  <c r="AE181" i="2"/>
  <c r="AD181" i="2"/>
  <c r="AC181" i="2"/>
  <c r="AB181" i="2"/>
  <c r="AA181" i="2"/>
  <c r="AF180" i="2"/>
  <c r="AE180" i="2"/>
  <c r="AD180" i="2"/>
  <c r="AC180" i="2"/>
  <c r="AB180" i="2"/>
  <c r="AA180" i="2"/>
  <c r="AF179" i="2"/>
  <c r="AE179" i="2"/>
  <c r="AD179" i="2"/>
  <c r="AC179" i="2"/>
  <c r="AB179" i="2"/>
  <c r="AA179" i="2"/>
  <c r="Z178" i="2"/>
  <c r="Z184" i="2" s="1"/>
  <c r="Y178" i="2"/>
  <c r="Y184" i="2" s="1"/>
  <c r="X178" i="2"/>
  <c r="X184" i="2" s="1"/>
  <c r="W178" i="2"/>
  <c r="W184" i="2" s="1"/>
  <c r="V178" i="2"/>
  <c r="V184" i="2" s="1"/>
  <c r="U178" i="2"/>
  <c r="U184" i="2" s="1"/>
  <c r="T178" i="2"/>
  <c r="T184" i="2" s="1"/>
  <c r="S178" i="2"/>
  <c r="S184" i="2" s="1"/>
  <c r="R178" i="2"/>
  <c r="R184" i="2" s="1"/>
  <c r="Q178" i="2"/>
  <c r="Q184" i="2" s="1"/>
  <c r="P178" i="2"/>
  <c r="P184" i="2" s="1"/>
  <c r="O178" i="2"/>
  <c r="O184" i="2" s="1"/>
  <c r="N178" i="2"/>
  <c r="N184" i="2" s="1"/>
  <c r="M178" i="2"/>
  <c r="M184" i="2" s="1"/>
  <c r="L178" i="2"/>
  <c r="L184" i="2" s="1"/>
  <c r="K178" i="2"/>
  <c r="K184" i="2" s="1"/>
  <c r="J178" i="2"/>
  <c r="J184" i="2" s="1"/>
  <c r="I178" i="2"/>
  <c r="I184" i="2" s="1"/>
  <c r="H178" i="2"/>
  <c r="H184" i="2" s="1"/>
  <c r="G178" i="2"/>
  <c r="G184" i="2" s="1"/>
  <c r="F178" i="2"/>
  <c r="F184" i="2" s="1"/>
  <c r="E178" i="2"/>
  <c r="E184" i="2" s="1"/>
  <c r="D178" i="2"/>
  <c r="D184" i="2" s="1"/>
  <c r="C178" i="2"/>
  <c r="C184" i="2" s="1"/>
  <c r="AF176" i="2"/>
  <c r="AE176" i="2"/>
  <c r="AD176" i="2"/>
  <c r="AC176" i="2"/>
  <c r="AB176" i="2"/>
  <c r="AA176" i="2"/>
  <c r="AF175" i="2"/>
  <c r="AE175" i="2"/>
  <c r="AD175" i="2"/>
  <c r="AC175" i="2"/>
  <c r="AB175" i="2"/>
  <c r="AA175" i="2"/>
  <c r="AF174" i="2"/>
  <c r="AE174" i="2"/>
  <c r="AD174" i="2"/>
  <c r="AC174" i="2"/>
  <c r="AB174" i="2"/>
  <c r="AA174" i="2"/>
  <c r="AF173" i="2"/>
  <c r="AE173" i="2"/>
  <c r="AD173" i="2"/>
  <c r="AC173" i="2"/>
  <c r="AB173" i="2"/>
  <c r="AA173" i="2"/>
  <c r="AA171" i="2"/>
  <c r="U171" i="2"/>
  <c r="O171" i="2"/>
  <c r="I171" i="2"/>
  <c r="C171" i="2"/>
  <c r="L146" i="2"/>
  <c r="L106" i="2" s="1"/>
  <c r="K146" i="2"/>
  <c r="K106" i="2" s="1"/>
  <c r="L145" i="2"/>
  <c r="L105" i="2" s="1"/>
  <c r="K145" i="2"/>
  <c r="K105" i="2" s="1"/>
  <c r="L144" i="2"/>
  <c r="K144" i="2"/>
  <c r="L143" i="2"/>
  <c r="K143" i="2"/>
  <c r="L142" i="2"/>
  <c r="K142" i="2"/>
  <c r="J141" i="2"/>
  <c r="J147" i="2" s="1"/>
  <c r="J104" i="2" s="1"/>
  <c r="I141" i="2"/>
  <c r="I147" i="2" s="1"/>
  <c r="I104" i="2" s="1"/>
  <c r="H141" i="2"/>
  <c r="H147" i="2" s="1"/>
  <c r="H104" i="2" s="1"/>
  <c r="G141" i="2"/>
  <c r="G147" i="2" s="1"/>
  <c r="G104" i="2" s="1"/>
  <c r="F141" i="2"/>
  <c r="F147" i="2" s="1"/>
  <c r="F104" i="2" s="1"/>
  <c r="E141" i="2"/>
  <c r="E147" i="2" s="1"/>
  <c r="E104" i="2" s="1"/>
  <c r="D141" i="2"/>
  <c r="D147" i="2" s="1"/>
  <c r="D104" i="2" s="1"/>
  <c r="C141" i="2"/>
  <c r="C147" i="2" s="1"/>
  <c r="C104" i="2" s="1"/>
  <c r="L140" i="2"/>
  <c r="K140" i="2"/>
  <c r="L139" i="2"/>
  <c r="K139" i="2"/>
  <c r="L138" i="2"/>
  <c r="K138" i="2"/>
  <c r="L137" i="2"/>
  <c r="K137" i="2"/>
  <c r="L136" i="2"/>
  <c r="K136" i="2"/>
  <c r="K135" i="2"/>
  <c r="I135" i="2"/>
  <c r="G135" i="2"/>
  <c r="E135" i="2"/>
  <c r="C135" i="2"/>
  <c r="K121" i="2"/>
  <c r="I121" i="2"/>
  <c r="G121" i="2"/>
  <c r="E121" i="2"/>
  <c r="C121" i="2"/>
  <c r="J112" i="2"/>
  <c r="I112" i="2"/>
  <c r="H112" i="2"/>
  <c r="G112" i="2"/>
  <c r="F112" i="2"/>
  <c r="E112" i="2"/>
  <c r="D112" i="2"/>
  <c r="C112" i="2"/>
  <c r="J109" i="2"/>
  <c r="I109" i="2"/>
  <c r="H109" i="2"/>
  <c r="G109" i="2"/>
  <c r="F109" i="2"/>
  <c r="E109" i="2"/>
  <c r="D109" i="2"/>
  <c r="C109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L102" i="2"/>
  <c r="K102" i="2"/>
  <c r="L99" i="2"/>
  <c r="K99" i="2"/>
  <c r="L98" i="2"/>
  <c r="K98" i="2"/>
  <c r="L97" i="2"/>
  <c r="K97" i="2"/>
  <c r="L96" i="2"/>
  <c r="K96" i="2"/>
  <c r="L95" i="2"/>
  <c r="K95" i="2"/>
  <c r="J94" i="2"/>
  <c r="I94" i="2"/>
  <c r="H94" i="2"/>
  <c r="G94" i="2"/>
  <c r="F94" i="2"/>
  <c r="E94" i="2"/>
  <c r="D94" i="2"/>
  <c r="D101" i="2" s="1"/>
  <c r="C94" i="2"/>
  <c r="J89" i="2"/>
  <c r="I89" i="2"/>
  <c r="H89" i="2"/>
  <c r="G89" i="2"/>
  <c r="F89" i="2"/>
  <c r="E89" i="2"/>
  <c r="D89" i="2"/>
  <c r="C89" i="2"/>
  <c r="K88" i="2"/>
  <c r="I88" i="2"/>
  <c r="G88" i="2"/>
  <c r="E88" i="2"/>
  <c r="C88" i="2"/>
  <c r="J85" i="2"/>
  <c r="I218" i="2"/>
  <c r="I219" i="2" s="1"/>
  <c r="G85" i="2"/>
  <c r="F85" i="2"/>
  <c r="E218" i="2"/>
  <c r="E219" i="2" s="1"/>
  <c r="J209" i="2"/>
  <c r="J211" i="2" s="1"/>
  <c r="H209" i="2"/>
  <c r="H211" i="2" s="1"/>
  <c r="F209" i="2"/>
  <c r="F211" i="2" s="1"/>
  <c r="E209" i="2"/>
  <c r="E210" i="2" s="1"/>
  <c r="D209" i="2"/>
  <c r="D211" i="2" s="1"/>
  <c r="I58" i="2"/>
  <c r="G58" i="2"/>
  <c r="E58" i="2"/>
  <c r="C58" i="2"/>
  <c r="L53" i="2"/>
  <c r="K53" i="2"/>
  <c r="L52" i="2"/>
  <c r="K52" i="2"/>
  <c r="L48" i="2"/>
  <c r="K48" i="2"/>
  <c r="L47" i="2"/>
  <c r="K47" i="2"/>
  <c r="L46" i="2"/>
  <c r="K46" i="2"/>
  <c r="L45" i="2"/>
  <c r="K45" i="2"/>
  <c r="L44" i="2"/>
  <c r="K44" i="2"/>
  <c r="L43" i="2"/>
  <c r="K43" i="2"/>
  <c r="L42" i="2"/>
  <c r="K42" i="2"/>
  <c r="J41" i="2"/>
  <c r="I41" i="2"/>
  <c r="H41" i="2"/>
  <c r="G41" i="2"/>
  <c r="F41" i="2"/>
  <c r="E41" i="2"/>
  <c r="C41" i="2"/>
  <c r="L40" i="2"/>
  <c r="K40" i="2"/>
  <c r="L39" i="2"/>
  <c r="K39" i="2"/>
  <c r="L38" i="2"/>
  <c r="K38" i="2"/>
  <c r="J37" i="2"/>
  <c r="I37" i="2"/>
  <c r="H37" i="2"/>
  <c r="G37" i="2"/>
  <c r="F37" i="2"/>
  <c r="E37" i="2"/>
  <c r="D37" i="2"/>
  <c r="C37" i="2"/>
  <c r="L30" i="2"/>
  <c r="K30" i="2"/>
  <c r="L28" i="2"/>
  <c r="K28" i="2"/>
  <c r="L27" i="2"/>
  <c r="K27" i="2"/>
  <c r="L26" i="2"/>
  <c r="K26" i="2"/>
  <c r="J25" i="2"/>
  <c r="I25" i="2"/>
  <c r="H25" i="2"/>
  <c r="G25" i="2"/>
  <c r="F25" i="2"/>
  <c r="E25" i="2"/>
  <c r="D25" i="2"/>
  <c r="C25" i="2"/>
  <c r="L24" i="2"/>
  <c r="K24" i="2"/>
  <c r="L23" i="2"/>
  <c r="K23" i="2"/>
  <c r="L22" i="2"/>
  <c r="K22" i="2"/>
  <c r="H21" i="2"/>
  <c r="G21" i="2"/>
  <c r="F21" i="2"/>
  <c r="E21" i="2"/>
  <c r="D21" i="2"/>
  <c r="C21" i="2"/>
  <c r="L20" i="2"/>
  <c r="K20" i="2"/>
  <c r="L19" i="2"/>
  <c r="K19" i="2"/>
  <c r="L18" i="2"/>
  <c r="K18" i="2"/>
  <c r="L17" i="2"/>
  <c r="K17" i="2"/>
  <c r="L16" i="2"/>
  <c r="K16" i="2"/>
  <c r="L15" i="2"/>
  <c r="K15" i="2"/>
  <c r="J14" i="2"/>
  <c r="I14" i="2"/>
  <c r="H14" i="2"/>
  <c r="H29" i="2" s="1"/>
  <c r="G14" i="2"/>
  <c r="E14" i="2"/>
  <c r="D14" i="2"/>
  <c r="C14" i="2"/>
  <c r="K13" i="2"/>
  <c r="I13" i="2"/>
  <c r="G13" i="2"/>
  <c r="E13" i="2"/>
  <c r="C13" i="2"/>
  <c r="B7" i="2"/>
  <c r="D103" i="2" l="1"/>
  <c r="D107" i="2"/>
  <c r="L151" i="2"/>
  <c r="H151" i="2"/>
  <c r="D151" i="2"/>
  <c r="J151" i="2"/>
  <c r="F151" i="2"/>
  <c r="H130" i="2"/>
  <c r="D130" i="2"/>
  <c r="J130" i="2"/>
  <c r="F130" i="2"/>
  <c r="I130" i="2"/>
  <c r="E130" i="2"/>
  <c r="G130" i="2"/>
  <c r="C130" i="2"/>
  <c r="I129" i="2"/>
  <c r="E129" i="2"/>
  <c r="C129" i="2"/>
  <c r="G129" i="2"/>
  <c r="D29" i="2"/>
  <c r="J129" i="2"/>
  <c r="F129" i="2"/>
  <c r="H129" i="2"/>
  <c r="D129" i="2"/>
  <c r="F101" i="2"/>
  <c r="E101" i="2"/>
  <c r="E107" i="2" s="1"/>
  <c r="I101" i="2"/>
  <c r="I107" i="2" s="1"/>
  <c r="G103" i="2"/>
  <c r="G108" i="2" s="1"/>
  <c r="D108" i="2"/>
  <c r="H103" i="2"/>
  <c r="H108" i="2" s="1"/>
  <c r="E103" i="2"/>
  <c r="I103" i="2"/>
  <c r="F103" i="2"/>
  <c r="F108" i="2" s="1"/>
  <c r="J103" i="2"/>
  <c r="J108" i="2" s="1"/>
  <c r="J88" i="2"/>
  <c r="L36" i="2"/>
  <c r="H36" i="2"/>
  <c r="D36" i="2"/>
  <c r="J36" i="2"/>
  <c r="F36" i="2"/>
  <c r="E85" i="2"/>
  <c r="I131" i="2"/>
  <c r="AD178" i="2"/>
  <c r="AD184" i="2" s="1"/>
  <c r="H101" i="2"/>
  <c r="H123" i="2" s="1"/>
  <c r="C49" i="2"/>
  <c r="G101" i="2"/>
  <c r="G107" i="2" s="1"/>
  <c r="I85" i="2"/>
  <c r="K94" i="2"/>
  <c r="AC178" i="2"/>
  <c r="AC184" i="2" s="1"/>
  <c r="AE178" i="2"/>
  <c r="AE184" i="2" s="1"/>
  <c r="J101" i="2"/>
  <c r="E49" i="2"/>
  <c r="I49" i="2"/>
  <c r="L94" i="2"/>
  <c r="L101" i="2" s="1"/>
  <c r="E131" i="2"/>
  <c r="L21" i="2"/>
  <c r="L37" i="2"/>
  <c r="K25" i="2"/>
  <c r="C209" i="2"/>
  <c r="C210" i="2" s="1"/>
  <c r="K211" i="2"/>
  <c r="G209" i="2"/>
  <c r="G210" i="2" s="1"/>
  <c r="I209" i="2"/>
  <c r="I210" i="2" s="1"/>
  <c r="L25" i="2"/>
  <c r="L41" i="2"/>
  <c r="L141" i="2"/>
  <c r="L147" i="2" s="1"/>
  <c r="L104" i="2" s="1"/>
  <c r="L103" i="2" s="1"/>
  <c r="L108" i="2" s="1"/>
  <c r="AA178" i="2"/>
  <c r="AA184" i="2" s="1"/>
  <c r="L193" i="2"/>
  <c r="K109" i="2"/>
  <c r="K21" i="2"/>
  <c r="K41" i="2"/>
  <c r="K141" i="2"/>
  <c r="K147" i="2" s="1"/>
  <c r="K104" i="2" s="1"/>
  <c r="K103" i="2" s="1"/>
  <c r="K108" i="2" s="1"/>
  <c r="AB178" i="2"/>
  <c r="AB184" i="2" s="1"/>
  <c r="AF178" i="2"/>
  <c r="AF184" i="2" s="1"/>
  <c r="K193" i="2"/>
  <c r="K100" i="2" s="1"/>
  <c r="K37" i="2"/>
  <c r="J114" i="2"/>
  <c r="J29" i="2"/>
  <c r="I29" i="2"/>
  <c r="I114" i="2"/>
  <c r="H114" i="2"/>
  <c r="G114" i="2"/>
  <c r="F29" i="2"/>
  <c r="F114" i="2"/>
  <c r="E29" i="2"/>
  <c r="E114" i="2"/>
  <c r="D114" i="2"/>
  <c r="L14" i="2"/>
  <c r="K207" i="2"/>
  <c r="K205" i="2"/>
  <c r="K204" i="2"/>
  <c r="K215" i="2"/>
  <c r="C101" i="2"/>
  <c r="K206" i="2"/>
  <c r="C29" i="2"/>
  <c r="C114" i="2"/>
  <c r="K14" i="2"/>
  <c r="H31" i="2"/>
  <c r="D218" i="2"/>
  <c r="D220" i="2" s="1"/>
  <c r="D131" i="2"/>
  <c r="D85" i="2"/>
  <c r="H218" i="2"/>
  <c r="H220" i="2" s="1"/>
  <c r="H131" i="2"/>
  <c r="H85" i="2"/>
  <c r="G29" i="2"/>
  <c r="G123" i="2" s="1"/>
  <c r="K216" i="2"/>
  <c r="H49" i="2"/>
  <c r="D13" i="2"/>
  <c r="L13" i="2"/>
  <c r="F218" i="2"/>
  <c r="F220" i="2" s="1"/>
  <c r="F131" i="2"/>
  <c r="J218" i="2"/>
  <c r="J220" i="2" s="1"/>
  <c r="J131" i="2"/>
  <c r="L188" i="2"/>
  <c r="H188" i="2"/>
  <c r="D188" i="2"/>
  <c r="AD171" i="2"/>
  <c r="R171" i="2"/>
  <c r="F171" i="2"/>
  <c r="J135" i="2"/>
  <c r="F135" i="2"/>
  <c r="L121" i="2"/>
  <c r="H121" i="2"/>
  <c r="D121" i="2"/>
  <c r="J188" i="2"/>
  <c r="F188" i="2"/>
  <c r="X171" i="2"/>
  <c r="L171" i="2"/>
  <c r="L135" i="2"/>
  <c r="H135" i="2"/>
  <c r="D135" i="2"/>
  <c r="J121" i="2"/>
  <c r="F121" i="2"/>
  <c r="L88" i="2"/>
  <c r="H88" i="2"/>
  <c r="D88" i="2"/>
  <c r="F13" i="2"/>
  <c r="J13" i="2"/>
  <c r="D49" i="2"/>
  <c r="D122" i="2" s="1"/>
  <c r="D58" i="2"/>
  <c r="H58" i="2"/>
  <c r="H13" i="2"/>
  <c r="L109" i="2"/>
  <c r="F49" i="2"/>
  <c r="J49" i="2"/>
  <c r="F58" i="2"/>
  <c r="J58" i="2"/>
  <c r="G49" i="2"/>
  <c r="G122" i="2" s="1"/>
  <c r="C218" i="2"/>
  <c r="C219" i="2" s="1"/>
  <c r="G218" i="2"/>
  <c r="G219" i="2" s="1"/>
  <c r="G131" i="2"/>
  <c r="C85" i="2"/>
  <c r="F88" i="2"/>
  <c r="I122" i="2" l="1"/>
  <c r="I31" i="2"/>
  <c r="I123" i="2"/>
  <c r="E31" i="2"/>
  <c r="E123" i="2"/>
  <c r="E122" i="2"/>
  <c r="J122" i="2"/>
  <c r="J123" i="2"/>
  <c r="H107" i="2"/>
  <c r="H113" i="2" s="1"/>
  <c r="H116" i="2" s="1"/>
  <c r="H122" i="2"/>
  <c r="F107" i="2"/>
  <c r="F113" i="2" s="1"/>
  <c r="F116" i="2" s="1"/>
  <c r="F122" i="2"/>
  <c r="F123" i="2"/>
  <c r="H127" i="2"/>
  <c r="H125" i="2"/>
  <c r="L107" i="2"/>
  <c r="C107" i="2"/>
  <c r="C122" i="2"/>
  <c r="C123" i="2"/>
  <c r="D31" i="2"/>
  <c r="D123" i="2"/>
  <c r="G115" i="2"/>
  <c r="D115" i="2"/>
  <c r="F115" i="2"/>
  <c r="J115" i="2"/>
  <c r="H115" i="2"/>
  <c r="K107" i="2"/>
  <c r="K113" i="2" s="1"/>
  <c r="I108" i="2"/>
  <c r="I113" i="2" s="1"/>
  <c r="I116" i="2" s="1"/>
  <c r="E108" i="2"/>
  <c r="E113" i="2" s="1"/>
  <c r="E116" i="2" s="1"/>
  <c r="C103" i="2"/>
  <c r="J107" i="2"/>
  <c r="J113" i="2" s="1"/>
  <c r="J116" i="2" s="1"/>
  <c r="F31" i="2"/>
  <c r="D113" i="2"/>
  <c r="D116" i="2" s="1"/>
  <c r="G113" i="2"/>
  <c r="G116" i="2" s="1"/>
  <c r="L49" i="2"/>
  <c r="L122" i="2" s="1"/>
  <c r="L29" i="2"/>
  <c r="L123" i="2" s="1"/>
  <c r="J31" i="2"/>
  <c r="I51" i="2"/>
  <c r="I54" i="2" s="1"/>
  <c r="K210" i="2"/>
  <c r="K49" i="2"/>
  <c r="K122" i="2" s="1"/>
  <c r="K29" i="2"/>
  <c r="K123" i="2" s="1"/>
  <c r="E51" i="2"/>
  <c r="E54" i="2" s="1"/>
  <c r="C51" i="2"/>
  <c r="C54" i="2" s="1"/>
  <c r="L112" i="2"/>
  <c r="L114" i="2" s="1"/>
  <c r="K112" i="2"/>
  <c r="K114" i="2" s="1"/>
  <c r="K219" i="2"/>
  <c r="K131" i="2" s="1"/>
  <c r="C31" i="2"/>
  <c r="G51" i="2"/>
  <c r="G54" i="2" s="1"/>
  <c r="G31" i="2"/>
  <c r="H51" i="2"/>
  <c r="H54" i="2" s="1"/>
  <c r="D51" i="2"/>
  <c r="D54" i="2" s="1"/>
  <c r="F51" i="2"/>
  <c r="F54" i="2" s="1"/>
  <c r="K220" i="2"/>
  <c r="L131" i="2" s="1"/>
  <c r="J51" i="2"/>
  <c r="J54" i="2" s="1"/>
  <c r="E127" i="2" l="1"/>
  <c r="E128" i="2" s="1"/>
  <c r="E125" i="2"/>
  <c r="E126" i="2" s="1"/>
  <c r="G125" i="2"/>
  <c r="G126" i="2" s="1"/>
  <c r="G127" i="2"/>
  <c r="G128" i="2" s="1"/>
  <c r="I125" i="2"/>
  <c r="I127" i="2"/>
  <c r="J125" i="2"/>
  <c r="J126" i="2" s="1"/>
  <c r="J127" i="2"/>
  <c r="J128" i="2" s="1"/>
  <c r="F125" i="2"/>
  <c r="F126" i="2" s="1"/>
  <c r="F127" i="2"/>
  <c r="F128" i="2" s="1"/>
  <c r="C124" i="2"/>
  <c r="D125" i="2"/>
  <c r="D126" i="2" s="1"/>
  <c r="D127" i="2"/>
  <c r="D128" i="2" s="1"/>
  <c r="C125" i="2"/>
  <c r="C126" i="2" s="1"/>
  <c r="C127" i="2"/>
  <c r="C128" i="2" s="1"/>
  <c r="E124" i="2"/>
  <c r="F124" i="2"/>
  <c r="I128" i="2"/>
  <c r="I126" i="2"/>
  <c r="I124" i="2"/>
  <c r="L115" i="2"/>
  <c r="G124" i="2"/>
  <c r="H124" i="2"/>
  <c r="I115" i="2"/>
  <c r="E115" i="2"/>
  <c r="H126" i="2"/>
  <c r="H128" i="2"/>
  <c r="C108" i="2"/>
  <c r="C115" i="2" s="1"/>
  <c r="D124" i="2"/>
  <c r="L31" i="2"/>
  <c r="J124" i="2"/>
  <c r="L51" i="2"/>
  <c r="L54" i="2" s="1"/>
  <c r="K31" i="2"/>
  <c r="K51" i="2"/>
  <c r="K54" i="2" s="1"/>
  <c r="L127" i="2" l="1"/>
  <c r="L125" i="2"/>
  <c r="L126" i="2" s="1"/>
  <c r="K125" i="2"/>
  <c r="K126" i="2" s="1"/>
  <c r="K127" i="2"/>
  <c r="K128" i="2" s="1"/>
  <c r="K115" i="2"/>
  <c r="K116" i="2" s="1"/>
  <c r="K124" i="2"/>
  <c r="C113" i="2"/>
  <c r="C116" i="2" s="1"/>
  <c r="L116" i="2"/>
  <c r="L113" i="2"/>
  <c r="L124" i="2" l="1"/>
  <c r="L128" i="2"/>
</calcChain>
</file>

<file path=xl/sharedStrings.xml><?xml version="1.0" encoding="utf-8"?>
<sst xmlns="http://schemas.openxmlformats.org/spreadsheetml/2006/main" count="307" uniqueCount="199">
  <si>
    <t>State:</t>
  </si>
  <si>
    <t>Discom:</t>
  </si>
  <si>
    <t>2018-19</t>
  </si>
  <si>
    <t>2019-20</t>
  </si>
  <si>
    <t>2020-21</t>
  </si>
  <si>
    <t>2021-22</t>
  </si>
  <si>
    <t>2022-23</t>
  </si>
  <si>
    <t>2023-24</t>
  </si>
  <si>
    <t>Profit &amp; Loss</t>
  </si>
  <si>
    <t>Table 1: Revenue Details</t>
  </si>
  <si>
    <t>Quarter 1</t>
  </si>
  <si>
    <t>Quarter 2</t>
  </si>
  <si>
    <t>Quarter 3</t>
  </si>
  <si>
    <t>Quarter 4</t>
  </si>
  <si>
    <t>Cumulative (6M/9M/12M)</t>
  </si>
  <si>
    <t xml:space="preserve"> Revenue from Operations (A = A1+A2+A3+A4+A5+A6)</t>
  </si>
  <si>
    <t xml:space="preserve">A1: Revenue from Sale of Power </t>
  </si>
  <si>
    <t xml:space="preserve">  A2: Fixed Charges/Recovery from theft etc.</t>
  </si>
  <si>
    <t>A3: Revenue from Distribution Franchisee</t>
  </si>
  <si>
    <t xml:space="preserve"> A4: Revenue from Inter-state sale and Trading</t>
  </si>
  <si>
    <t xml:space="preserve"> A5: Revenue from Open Access and Wheeling</t>
  </si>
  <si>
    <t>A6: Any other Operating Revenue</t>
  </si>
  <si>
    <t xml:space="preserve"> Revenue - Subsidies and Grants (B = B1+B2+B3)</t>
  </si>
  <si>
    <t xml:space="preserve"> B1: Tariff Subsidy Booked </t>
  </si>
  <si>
    <t xml:space="preserve"> B2: Revenue Grant under UDAY</t>
  </si>
  <si>
    <t xml:space="preserve"> B3: Other Subsidies and Grants</t>
  </si>
  <si>
    <t xml:space="preserve">  Other Income (C = C1+C2+C3)</t>
  </si>
  <si>
    <t>C2: Misc Non-tariff income from consumers (including DPS)</t>
  </si>
  <si>
    <t>C3: Other Non-operating income</t>
  </si>
  <si>
    <t xml:space="preserve"> Total Revenue on subsidy booked basis ( D = A + B + C)</t>
  </si>
  <si>
    <t xml:space="preserve"> Tariff Subsidy Received ( E )</t>
  </si>
  <si>
    <t xml:space="preserve">  Total Revenue on subsidy received basis ( F = D - B1 + E)</t>
  </si>
  <si>
    <t>Table 2: Expenditure Details</t>
  </si>
  <si>
    <t xml:space="preserve"> Cost of Power ( G = G1 + G2+ G3)</t>
  </si>
  <si>
    <t>G2: Purchase of Power</t>
  </si>
  <si>
    <t xml:space="preserve"> G3: Transmission Charges</t>
  </si>
  <si>
    <t xml:space="preserve">  O&amp;M Expenses ( H = H1 + H2 + H3 + H4 + H5 + H6 + H7)</t>
  </si>
  <si>
    <t>H1: Repairs &amp; Maintenance</t>
  </si>
  <si>
    <t xml:space="preserve"> H2: Employee Cost</t>
  </si>
  <si>
    <t>H3: Admn &amp; General Expenses</t>
  </si>
  <si>
    <t>H4: Depreciation</t>
  </si>
  <si>
    <t>H5:  Total Interest Cost</t>
  </si>
  <si>
    <t>H6: Other expenses</t>
  </si>
  <si>
    <t xml:space="preserve"> H7: Exceptional Items</t>
  </si>
  <si>
    <t xml:space="preserve">  Total Expenses ( I = G + H )</t>
  </si>
  <si>
    <t xml:space="preserve"> BLANK </t>
  </si>
  <si>
    <t xml:space="preserve">  Profit before tax ( J = D - I )</t>
  </si>
  <si>
    <t>K1: Income Tax</t>
  </si>
  <si>
    <t>K2: Deferred Tax</t>
  </si>
  <si>
    <t xml:space="preserve">  Profit after tax ( L = J - K1 - K2)</t>
  </si>
  <si>
    <t>Balance Sheet</t>
  </si>
  <si>
    <t xml:space="preserve">Table 3:  Total Assets </t>
  </si>
  <si>
    <t>As on 30th June</t>
  </si>
  <si>
    <t>As on 30th Sep</t>
  </si>
  <si>
    <t>As on 31st Dec</t>
  </si>
  <si>
    <t>As on 31st Mar</t>
  </si>
  <si>
    <t>Table 4: Total Equity and Liabilities</t>
  </si>
  <si>
    <t>Table 5: Technical Details</t>
  </si>
  <si>
    <t>O1a: Hydel</t>
  </si>
  <si>
    <t>O1b: Thermal</t>
  </si>
  <si>
    <t>O1c: Gas</t>
  </si>
  <si>
    <t>O1d: Others</t>
  </si>
  <si>
    <t>O2a: Hydel</t>
  </si>
  <si>
    <t>O2b: Thermal</t>
  </si>
  <si>
    <t>O2c: Gas</t>
  </si>
  <si>
    <t>O2d: Others</t>
  </si>
  <si>
    <t>O3: Total Auxiliary Consumption (MU) (Quarter Ended)</t>
  </si>
  <si>
    <t>O4 : Gross Power Purchase (MU) (Quarter Ended)</t>
  </si>
  <si>
    <t xml:space="preserve"> Gross Input Energy (MU) (O5 = O2 - O3 + O4)</t>
  </si>
  <si>
    <t>O6: Transmission Losses (MU)(Interstate &amp; Intrastate)</t>
  </si>
  <si>
    <t>O7: Gross Energy sold (MU)</t>
  </si>
  <si>
    <t>O7a: Energy Sold to own consumers</t>
  </si>
  <si>
    <t>O7b: Bulk Sale to Distribution Franchisee</t>
  </si>
  <si>
    <t xml:space="preserve"> Revenue Billed including subsidy booked (O10 = A1 + A2 + A3 + B1)</t>
  </si>
  <si>
    <t>O11: Opening Gross Trade Receivables (including any adjustments) (Rs crore)</t>
  </si>
  <si>
    <t>O12:  Adjusted Gross Closing Trade Receivables (Rs crore)</t>
  </si>
  <si>
    <t xml:space="preserve"> Revenue Collected including subsidy received (O13 = A1 + A2 + A3 + E + O11 - O12)</t>
  </si>
  <si>
    <t xml:space="preserve"> Billing Efficiency (%) (O14 = O9/O8*100)</t>
  </si>
  <si>
    <t xml:space="preserve"> Collection Efficiency (%)  (O15 = O13/O10*100)</t>
  </si>
  <si>
    <t xml:space="preserve"> AT&amp;C Loss (%) (O16 = 100 - O14*O15/100)</t>
  </si>
  <si>
    <t>Table 6: Key Parameters</t>
  </si>
  <si>
    <t xml:space="preserve"> Gap on Subsidy Booked Basis (Rs./kWh) ( P3 = P1 - P2)</t>
  </si>
  <si>
    <t xml:space="preserve"> Gap on Subsidy Received Basis (Rs./kWh) (P5 = P1 - P4)</t>
  </si>
  <si>
    <t xml:space="preserve"> Gap on Subsidy Received excluding Regulatory Income and UDAY Grant (Rs./kWh) (P7 = P1 - P6)</t>
  </si>
  <si>
    <t xml:space="preserve"> Receivables (Days) (P8 = 365*M5/A)</t>
  </si>
  <si>
    <t xml:space="preserve"> Payables (Days) (P9 = 365*N10/G)</t>
  </si>
  <si>
    <t xml:space="preserve"> Total Borrowings (P10 = N6 + N8 + N9)</t>
  </si>
  <si>
    <t>Q1: Domestic</t>
  </si>
  <si>
    <t>Q2: Commercial</t>
  </si>
  <si>
    <t>Q3: Agricultural</t>
  </si>
  <si>
    <t>Q4: Industrial</t>
  </si>
  <si>
    <t>Q5: Govt. Dept. (ULB/RLB/PWW/Public Lighting)</t>
  </si>
  <si>
    <t>Q6: Others</t>
  </si>
  <si>
    <t xml:space="preserve">  Railways</t>
  </si>
  <si>
    <t xml:space="preserve">  Bulk Supply</t>
  </si>
  <si>
    <t xml:space="preserve">  Miscellaneous</t>
  </si>
  <si>
    <t xml:space="preserve">  Distribution Franchisee</t>
  </si>
  <si>
    <t xml:space="preserve">  Interstate/ Trading/ UI</t>
  </si>
  <si>
    <t xml:space="preserve"> Gross Energy Sold (Q7 = Q1 + Q2 + Q3 + Q4 + Q5 + Q6) </t>
  </si>
  <si>
    <t>Table 8: Consumer Categorywise Details of Revenue (Rs. Crore)</t>
  </si>
  <si>
    <t>Revenue Booked excluding subsidy</t>
  </si>
  <si>
    <t>Subsidy Booked</t>
  </si>
  <si>
    <t>Subsidy received</t>
  </si>
  <si>
    <t>R1:  Domestic</t>
  </si>
  <si>
    <t>R2: Commercial</t>
  </si>
  <si>
    <t>R3: Agricultural</t>
  </si>
  <si>
    <t xml:space="preserve">R4: Industrial </t>
  </si>
  <si>
    <t>R5: Govt. Dept. (ULB/RLB/PWW/Public Lighting)</t>
  </si>
  <si>
    <t>R6: Others</t>
  </si>
  <si>
    <t xml:space="preserve"> Gross Energy Sold (R7 = R1 + R2 + R3 + R4 + R5 + R6) </t>
  </si>
  <si>
    <t>Table 9: Power Purchase Details</t>
  </si>
  <si>
    <t>in MUs</t>
  </si>
  <si>
    <t>Power Purchase through Long term PPA</t>
  </si>
  <si>
    <t>Own Generation for GEDCOs</t>
  </si>
  <si>
    <t>Power Purchase (Short term &amp; Medium Term)</t>
  </si>
  <si>
    <t>Total Power Purchase</t>
  </si>
  <si>
    <t>2024-25</t>
  </si>
  <si>
    <t>2025-26</t>
  </si>
  <si>
    <t>Payables</t>
  </si>
  <si>
    <t>Total Borrowings</t>
  </si>
  <si>
    <t>Debtors AT&amp;C</t>
  </si>
  <si>
    <t>Debtors (Days)</t>
  </si>
  <si>
    <t>Whether State Government has made advance payment of subsidy for the quarter(Yes/No)</t>
  </si>
  <si>
    <t xml:space="preserve"> </t>
  </si>
  <si>
    <t>Balance Sheet Check</t>
  </si>
  <si>
    <t>O7c: Interstate Sale/ Energy Traded/Net UI Export</t>
  </si>
  <si>
    <t xml:space="preserve"> Net Input Energy (MU) (O8 = O5 - O6 - O7c)</t>
  </si>
  <si>
    <t xml:space="preserve"> Net Energy Sold (MU) ( O9 = O7 - O7c)</t>
  </si>
  <si>
    <t>Energy Realised (MU) (O15a = O15*O9)</t>
  </si>
  <si>
    <t>Note:-</t>
  </si>
  <si>
    <t>Power Departments (PDs) are not required to fill the data of Balance Sheet. However, the Trade Receivables data are required to be filled in Table – 5: Technical Details at Row O11 (Opening Gross Trade Receivables ) and O12 (Gross Closing Trade Receivables)</t>
  </si>
  <si>
    <t xml:space="preserve">C1: Income booked against deferred revenue* </t>
  </si>
  <si>
    <t>*Revenue deferred by SERC as per tariff order for the relevant FY</t>
  </si>
  <si>
    <t>G1: Generation Cost (Only for GEDCOS)</t>
  </si>
  <si>
    <t>M2: Other Non-Current Assets</t>
  </si>
  <si>
    <t>M1: Net Tangible Assets &amp; CWIP</t>
  </si>
  <si>
    <t>M3:  Net Trade Receivables</t>
  </si>
  <si>
    <t>M4: Subsidy Receivable</t>
  </si>
  <si>
    <t>M5:  Other Current Assets</t>
  </si>
  <si>
    <t xml:space="preserve">  M3a: Gross Trade Receivable Govt. Dept.</t>
  </si>
  <si>
    <t>M3b: Gross Trade Receivable Other-than Govt. Dept.</t>
  </si>
  <si>
    <t>M3c:Provision for bad debts</t>
  </si>
  <si>
    <t xml:space="preserve"> Total Assets ( M = M1 + M2 + M3 + M4 + M5)</t>
  </si>
  <si>
    <t>N1: Share Capital &amp; General Reserves</t>
  </si>
  <si>
    <t>N2: Accumulated Surplus/ (Deficit) as per Balance Sheet</t>
  </si>
  <si>
    <t>N3: Government Grants for Capital Assets</t>
  </si>
  <si>
    <t>N4: Non-current liabilities</t>
  </si>
  <si>
    <t xml:space="preserve">  N6a: Long Term Loans - State Govt</t>
  </si>
  <si>
    <t>N6b: Long Term Loans - Banks &amp; FIs</t>
  </si>
  <si>
    <t xml:space="preserve">  N6c: Short Term/ Medium Term - State Govt</t>
  </si>
  <si>
    <t>N6d: Short Term/ Medium Term - Banks &amp; FIs</t>
  </si>
  <si>
    <t>N8: Payables for Purchase of Power</t>
  </si>
  <si>
    <t>N9: Other Current Liabilities</t>
  </si>
  <si>
    <t>N7b: Cash Credit/ OD from Banks/ Fis</t>
  </si>
  <si>
    <t>N5: Capex Borrowings</t>
  </si>
  <si>
    <t>N6: Non-Capex Borrowings</t>
  </si>
  <si>
    <t>N7a: Short Term Borrowings/ from Banks/ FIs</t>
  </si>
  <si>
    <t>O1:  Total Installed Capacity (MW) (Quarter Ended) (Only for GEDCOs)</t>
  </si>
  <si>
    <t>O2:  Total Generation (MU) (Quarter Ended) (Only for GEDCOs)</t>
  </si>
  <si>
    <t>Current Year (CY)</t>
  </si>
  <si>
    <t>Previous Year (PY)</t>
  </si>
  <si>
    <t xml:space="preserve">  Total Equity and Liabilities ( N = N1 + N2 + N3 + N4 + N5 + N6 + N7 + N8 + N9)</t>
  </si>
  <si>
    <t>Table No.</t>
  </si>
  <si>
    <t>Parameter details</t>
  </si>
  <si>
    <t>Remarks</t>
  </si>
  <si>
    <t>Table 1</t>
  </si>
  <si>
    <t>Revenue from operations, subsidy &amp; grants and other income</t>
  </si>
  <si>
    <t>Mandatory from FY 21-22 onwards</t>
  </si>
  <si>
    <t>Table 2</t>
  </si>
  <si>
    <t>Expenditure: Cost of Power, O&amp;M and Taxes</t>
  </si>
  <si>
    <t>Table 3</t>
  </si>
  <si>
    <r>
      <t>Assets:</t>
    </r>
    <r>
      <rPr>
        <sz val="11"/>
        <color theme="1"/>
        <rFont val="Arial"/>
        <family val="2"/>
      </rPr>
      <t xml:space="preserve"> Net Trade Receivables and Subsidy Receivable </t>
    </r>
  </si>
  <si>
    <r>
      <t>Assets</t>
    </r>
    <r>
      <rPr>
        <sz val="11"/>
        <color theme="1"/>
        <rFont val="Arial"/>
        <family val="2"/>
      </rPr>
      <t>: Net Tangible Assets and CWIP, Other Current &amp; Non-current Assets</t>
    </r>
  </si>
  <si>
    <t>Table 4</t>
  </si>
  <si>
    <r>
      <t>Equity and Liabilities:</t>
    </r>
    <r>
      <rPr>
        <sz val="11"/>
        <color theme="1"/>
        <rFont val="Arial"/>
        <family val="2"/>
      </rPr>
      <t xml:space="preserve"> Accumulated Surplus/(Deficit), Capex and Non-capex borrowings, Payables for Purchase of Power</t>
    </r>
  </si>
  <si>
    <r>
      <t>Equity and Liabilities:</t>
    </r>
    <r>
      <rPr>
        <sz val="11"/>
        <color theme="1"/>
        <rFont val="Arial"/>
        <family val="2"/>
      </rPr>
      <t xml:space="preserve"> Share Capital &amp; Reserve, Government Grants for capital assets, other current &amp; non-current liabilities</t>
    </r>
  </si>
  <si>
    <t>Table 5</t>
  </si>
  <si>
    <t>Technical Details: Gross input energy, net input energy, energy sold and opening &amp; closing trade receivables</t>
  </si>
  <si>
    <t>Table 6</t>
  </si>
  <si>
    <t>Key Operational and Financial Parameters (Computed) – No specific inputs</t>
  </si>
  <si>
    <t>Computed from information in Table 1,2,3,4 &amp; 5</t>
  </si>
  <si>
    <t>Table 7</t>
  </si>
  <si>
    <t>Consumer category-wise sale of energy in terms of MU</t>
  </si>
  <si>
    <t>Optional in FY 21-22, Mandatory from FY 22-23 onwards</t>
  </si>
  <si>
    <t>Table 8</t>
  </si>
  <si>
    <t>Consumer category-wise sale of energy in terms of Rupees</t>
  </si>
  <si>
    <t>Optional in FY 21-22 and FY 22-23.
Mandatory from FY 23-24 onwards</t>
  </si>
  <si>
    <t>Format For Discoms For FY 2021-22 onwards</t>
  </si>
  <si>
    <t>Annexure-III</t>
  </si>
  <si>
    <t>In all the above tables, the quarterly data for the current FY and corresponding quarter of previous financial year has been sought. However in case of accounts for FY21-22, it is not mandatory to provide quarterly data for previous year i.e FY20-21 but for FY22-23, It would be mandatory to provide quarterly data for previous year i.e FY21-22.</t>
  </si>
  <si>
    <t>KERALA</t>
  </si>
  <si>
    <t>TCED</t>
  </si>
  <si>
    <t>Format For Discoms For FY2021-22 on wards</t>
  </si>
  <si>
    <t xml:space="preserve"> ACS (Rs./kWh) ( P1 = I*1/O5)</t>
  </si>
  <si>
    <t xml:space="preserve"> ARR on Subsidy Booked Basis (Rs./kWh) ( P2 = D*1/O5)</t>
  </si>
  <si>
    <t xml:space="preserve"> ARR on Subsidy Received Basis (Rs./kWh) (P4 = F*1/O5)</t>
  </si>
  <si>
    <t xml:space="preserve"> ARR on Subsidy Received excluding Regulatory Income and UDAY Grant (Rs/kWh) (Rs./kWh) (P6 = (F-B-C1)*1/O5)</t>
  </si>
  <si>
    <t>Table 7: Consumer Categorywise Details of Sale (Units)</t>
  </si>
  <si>
    <t>Table 8: Consumer Categorywise Details of Sale (Rs.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</si>
</sst>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#,##0;\(#,##0\);\-"/>
    <numFmt numFmtId="166" formatCode="_ * #,##0_ ;_ * \-#,##0_ ;_ * &quot;-&quot;??_ ;_ @_ "/>
    <numFmt numFmtId="167" formatCode="_(* #,##0.0000_);_(* \(#,##0.0000\);_(* &quot;-&quot;??_);_(@_)"/>
    <numFmt numFmtId="168" formatCode="#,##0.00;\(#,##0.00\);\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5" fontId="0" fillId="6" borderId="5" xfId="0" applyNumberFormat="1" applyFill="1" applyBorder="1" applyAlignment="1">
      <alignment horizontal="right" vertical="center"/>
    </xf>
    <xf numFmtId="165" fontId="0" fillId="0" borderId="0" xfId="0" applyNumberForma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37" fontId="6" fillId="0" borderId="1" xfId="0" applyNumberFormat="1" applyFont="1" applyBorder="1" applyAlignment="1" applyProtection="1">
      <alignment horizontal="right" vertical="center"/>
      <protection locked="0"/>
    </xf>
    <xf numFmtId="165" fontId="0" fillId="6" borderId="5" xfId="0" applyNumberFormat="1" applyFill="1" applyBorder="1" applyAlignment="1" applyProtection="1">
      <alignment horizontal="right" vertical="center"/>
    </xf>
    <xf numFmtId="37" fontId="6" fillId="0" borderId="0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37" fontId="0" fillId="0" borderId="0" xfId="0" applyNumberFormat="1" applyBorder="1" applyAlignment="1">
      <alignment vertical="center"/>
    </xf>
    <xf numFmtId="165" fontId="6" fillId="0" borderId="1" xfId="0" applyNumberFormat="1" applyFont="1" applyBorder="1" applyAlignment="1" applyProtection="1">
      <alignment horizontal="right" vertical="center"/>
      <protection locked="0"/>
    </xf>
    <xf numFmtId="165" fontId="6" fillId="0" borderId="0" xfId="0" applyNumberFormat="1" applyFont="1" applyBorder="1" applyAlignment="1">
      <alignment horizontal="right" vertical="center"/>
    </xf>
    <xf numFmtId="165" fontId="0" fillId="6" borderId="5" xfId="0" applyNumberFormat="1" applyFill="1" applyBorder="1" applyAlignment="1" applyProtection="1">
      <alignment horizontal="right" vertical="center"/>
      <protection locked="0"/>
    </xf>
    <xf numFmtId="165" fontId="3" fillId="6" borderId="5" xfId="0" applyNumberFormat="1" applyFont="1" applyFill="1" applyBorder="1" applyAlignment="1">
      <alignment horizontal="right" vertical="center"/>
    </xf>
    <xf numFmtId="165" fontId="3" fillId="6" borderId="5" xfId="0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37" fontId="0" fillId="0" borderId="1" xfId="0" applyNumberFormat="1" applyBorder="1" applyAlignment="1" applyProtection="1">
      <alignment horizontal="right" vertical="center" wrapText="1"/>
      <protection locked="0"/>
    </xf>
    <xf numFmtId="37" fontId="0" fillId="0" borderId="0" xfId="0" applyNumberFormat="1" applyBorder="1" applyAlignment="1">
      <alignment horizontal="right" vertical="center" wrapText="1"/>
    </xf>
    <xf numFmtId="37" fontId="3" fillId="0" borderId="0" xfId="0" applyNumberFormat="1" applyFont="1" applyBorder="1" applyAlignment="1">
      <alignment horizontal="right" vertical="center" wrapText="1"/>
    </xf>
    <xf numFmtId="165" fontId="0" fillId="6" borderId="5" xfId="0" applyNumberFormat="1" applyFont="1" applyFill="1" applyBorder="1" applyAlignment="1">
      <alignment horizontal="right" vertical="center"/>
    </xf>
    <xf numFmtId="165" fontId="0" fillId="6" borderId="5" xfId="0" applyNumberFormat="1" applyFont="1" applyFill="1" applyBorder="1" applyAlignment="1" applyProtection="1">
      <alignment horizontal="right" vertical="center"/>
    </xf>
    <xf numFmtId="37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37" fontId="0" fillId="0" borderId="1" xfId="0" applyNumberFormat="1" applyBorder="1" applyAlignment="1" applyProtection="1">
      <alignment vertical="center"/>
      <protection locked="0"/>
    </xf>
    <xf numFmtId="166" fontId="3" fillId="6" borderId="1" xfId="1" applyNumberFormat="1" applyFont="1" applyFill="1" applyBorder="1" applyAlignment="1" applyProtection="1">
      <alignment vertical="center"/>
    </xf>
    <xf numFmtId="0" fontId="2" fillId="5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66" fontId="1" fillId="6" borderId="1" xfId="1" applyNumberFormat="1" applyFont="1" applyFill="1" applyBorder="1" applyAlignment="1" applyProtection="1">
      <alignment vertical="center"/>
    </xf>
    <xf numFmtId="166" fontId="6" fillId="0" borderId="1" xfId="1" applyNumberFormat="1" applyFont="1" applyBorder="1" applyAlignment="1" applyProtection="1">
      <alignment horizontal="right" vertical="center"/>
      <protection locked="0"/>
    </xf>
    <xf numFmtId="166" fontId="0" fillId="0" borderId="1" xfId="1" applyNumberFormat="1" applyFont="1" applyBorder="1" applyAlignment="1" applyProtection="1">
      <alignment vertical="center"/>
      <protection locked="0"/>
    </xf>
    <xf numFmtId="166" fontId="1" fillId="0" borderId="1" xfId="1" applyNumberFormat="1" applyFont="1" applyFill="1" applyBorder="1" applyAlignment="1" applyProtection="1">
      <alignment vertical="center"/>
      <protection locked="0"/>
    </xf>
    <xf numFmtId="43" fontId="3" fillId="6" borderId="1" xfId="1" applyNumberFormat="1" applyFont="1" applyFill="1" applyBorder="1" applyAlignment="1" applyProtection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9" fontId="3" fillId="0" borderId="6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166" fontId="0" fillId="6" borderId="1" xfId="1" applyNumberFormat="1" applyFont="1" applyFill="1" applyBorder="1" applyAlignment="1" applyProtection="1">
      <alignment vertical="center"/>
    </xf>
    <xf numFmtId="1" fontId="3" fillId="0" borderId="6" xfId="0" applyNumberFormat="1" applyFont="1" applyBorder="1" applyAlignment="1">
      <alignment vertical="center"/>
    </xf>
    <xf numFmtId="37" fontId="3" fillId="0" borderId="6" xfId="0" applyNumberFormat="1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NumberFormat="1" applyFont="1" applyFill="1" applyBorder="1" applyAlignment="1">
      <alignment horizontal="right" vertical="center" wrapText="1"/>
    </xf>
    <xf numFmtId="0" fontId="0" fillId="7" borderId="2" xfId="0" applyFill="1" applyBorder="1" applyAlignment="1">
      <alignment horizontal="center" vertical="center"/>
    </xf>
    <xf numFmtId="166" fontId="0" fillId="8" borderId="0" xfId="0" applyNumberFormat="1" applyFill="1" applyAlignment="1" applyProtection="1">
      <alignment vertical="center"/>
    </xf>
    <xf numFmtId="0" fontId="0" fillId="8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37" fontId="0" fillId="9" borderId="0" xfId="0" applyNumberFormat="1" applyFill="1" applyAlignment="1" applyProtection="1">
      <alignment vertical="center"/>
    </xf>
    <xf numFmtId="166" fontId="0" fillId="0" borderId="0" xfId="0" applyNumberFormat="1" applyFill="1" applyAlignment="1" applyProtection="1">
      <alignment vertical="center"/>
    </xf>
    <xf numFmtId="37" fontId="0" fillId="10" borderId="0" xfId="0" applyNumberFormat="1" applyFill="1" applyAlignment="1" applyProtection="1">
      <alignment vertical="center"/>
    </xf>
    <xf numFmtId="0" fontId="0" fillId="10" borderId="0" xfId="0" applyFill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165" fontId="0" fillId="0" borderId="5" xfId="0" applyNumberFormat="1" applyFont="1" applyFill="1" applyBorder="1" applyAlignment="1" applyProtection="1">
      <alignment horizontal="right" vertical="center"/>
    </xf>
    <xf numFmtId="37" fontId="0" fillId="0" borderId="0" xfId="0" applyNumberFormat="1" applyAlignment="1">
      <alignment vertical="center"/>
    </xf>
    <xf numFmtId="0" fontId="0" fillId="8" borderId="0" xfId="0" applyFill="1" applyAlignment="1">
      <alignment vertical="center"/>
    </xf>
    <xf numFmtId="43" fontId="0" fillId="11" borderId="0" xfId="0" applyNumberFormat="1" applyFill="1" applyAlignment="1">
      <alignment vertical="center"/>
    </xf>
    <xf numFmtId="10" fontId="0" fillId="0" borderId="0" xfId="2" applyNumberFormat="1" applyFont="1" applyAlignment="1">
      <alignment vertical="center"/>
    </xf>
    <xf numFmtId="43" fontId="3" fillId="6" borderId="1" xfId="1" applyFont="1" applyFill="1" applyBorder="1" applyAlignment="1" applyProtection="1">
      <alignment vertical="center"/>
    </xf>
    <xf numFmtId="16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0" fontId="3" fillId="0" borderId="0" xfId="0" applyFont="1" applyBorder="1" applyAlignment="1">
      <alignment vertical="center"/>
    </xf>
    <xf numFmtId="43" fontId="3" fillId="6" borderId="0" xfId="1" applyNumberFormat="1" applyFont="1" applyFill="1" applyBorder="1" applyAlignment="1" applyProtection="1">
      <alignment vertical="center"/>
    </xf>
    <xf numFmtId="43" fontId="3" fillId="6" borderId="0" xfId="1" applyFont="1" applyFill="1" applyBorder="1" applyAlignment="1" applyProtection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6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left" vertical="center"/>
    </xf>
    <xf numFmtId="37" fontId="0" fillId="3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37" fontId="0" fillId="0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7" fontId="3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0" fillId="0" borderId="0" xfId="0" applyAlignment="1"/>
    <xf numFmtId="43" fontId="6" fillId="0" borderId="1" xfId="1" applyFont="1" applyBorder="1" applyAlignment="1" applyProtection="1">
      <alignment horizontal="right" vertical="center"/>
      <protection locked="0"/>
    </xf>
    <xf numFmtId="166" fontId="1" fillId="0" borderId="1" xfId="1" applyNumberFormat="1" applyFont="1" applyBorder="1" applyAlignment="1" applyProtection="1">
      <alignment horizontal="right" vertical="center"/>
      <protection locked="0"/>
    </xf>
    <xf numFmtId="43" fontId="1" fillId="0" borderId="1" xfId="1" applyFont="1" applyBorder="1" applyAlignment="1" applyProtection="1">
      <alignment horizontal="right" vertical="center"/>
      <protection locked="0"/>
    </xf>
    <xf numFmtId="165" fontId="0" fillId="0" borderId="0" xfId="0" applyNumberFormat="1" applyAlignment="1">
      <alignment vertical="center"/>
    </xf>
    <xf numFmtId="37" fontId="0" fillId="0" borderId="1" xfId="0" applyNumberFormat="1" applyFont="1" applyBorder="1" applyAlignment="1" applyProtection="1">
      <alignment horizontal="right" vertical="center"/>
      <protection locked="0"/>
    </xf>
    <xf numFmtId="166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166" fontId="11" fillId="0" borderId="1" xfId="1" applyNumberFormat="1" applyFont="1" applyBorder="1" applyAlignment="1" applyProtection="1">
      <alignment vertical="center"/>
      <protection locked="0"/>
    </xf>
    <xf numFmtId="166" fontId="11" fillId="0" borderId="1" xfId="1" applyNumberFormat="1" applyFont="1" applyFill="1" applyBorder="1" applyAlignment="1" applyProtection="1">
      <alignment vertical="center"/>
      <protection locked="0"/>
    </xf>
    <xf numFmtId="166" fontId="6" fillId="0" borderId="1" xfId="1" applyNumberFormat="1" applyFont="1" applyFill="1" applyBorder="1" applyAlignment="1" applyProtection="1">
      <alignment horizontal="right" vertical="center"/>
      <protection locked="0"/>
    </xf>
    <xf numFmtId="166" fontId="0" fillId="0" borderId="1" xfId="1" applyNumberFormat="1" applyFont="1" applyFill="1" applyBorder="1" applyAlignment="1" applyProtection="1">
      <alignment vertical="center"/>
      <protection locked="0"/>
    </xf>
    <xf numFmtId="37" fontId="0" fillId="0" borderId="1" xfId="0" applyNumberFormat="1" applyFill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0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3" fontId="0" fillId="0" borderId="0" xfId="0" applyNumberForma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topLeftCell="A7" workbookViewId="0">
      <selection activeCell="C8" sqref="C8"/>
    </sheetView>
  </sheetViews>
  <sheetFormatPr defaultRowHeight="15" x14ac:dyDescent="0.25"/>
  <cols>
    <col min="3" max="3" width="35.5703125" customWidth="1"/>
    <col min="4" max="4" width="17.5703125" customWidth="1"/>
  </cols>
  <sheetData>
    <row r="3" spans="2:10" x14ac:dyDescent="0.25">
      <c r="D3" s="110" t="s">
        <v>188</v>
      </c>
    </row>
    <row r="4" spans="2:10" x14ac:dyDescent="0.25">
      <c r="B4" s="125" t="s">
        <v>187</v>
      </c>
      <c r="C4" s="125"/>
      <c r="D4" s="125"/>
      <c r="E4" s="111"/>
      <c r="F4" s="111"/>
    </row>
    <row r="5" spans="2:10" ht="30" x14ac:dyDescent="0.25">
      <c r="B5" s="105" t="s">
        <v>162</v>
      </c>
      <c r="C5" s="105" t="s">
        <v>163</v>
      </c>
      <c r="D5" s="105" t="s">
        <v>164</v>
      </c>
    </row>
    <row r="6" spans="2:10" ht="42.75" x14ac:dyDescent="0.25">
      <c r="B6" s="106" t="s">
        <v>165</v>
      </c>
      <c r="C6" s="106" t="s">
        <v>166</v>
      </c>
      <c r="D6" s="106" t="s">
        <v>167</v>
      </c>
      <c r="J6" s="108"/>
    </row>
    <row r="7" spans="2:10" ht="42.75" x14ac:dyDescent="0.25">
      <c r="B7" s="106" t="s">
        <v>168</v>
      </c>
      <c r="C7" s="106" t="s">
        <v>169</v>
      </c>
      <c r="D7" s="106" t="s">
        <v>167</v>
      </c>
    </row>
    <row r="8" spans="2:10" ht="42.75" x14ac:dyDescent="0.25">
      <c r="B8" s="126" t="s">
        <v>170</v>
      </c>
      <c r="C8" s="107" t="s">
        <v>171</v>
      </c>
      <c r="D8" s="106" t="s">
        <v>167</v>
      </c>
    </row>
    <row r="9" spans="2:10" ht="71.25" x14ac:dyDescent="0.25">
      <c r="B9" s="127"/>
      <c r="C9" s="107" t="s">
        <v>172</v>
      </c>
      <c r="D9" s="106" t="s">
        <v>186</v>
      </c>
    </row>
    <row r="10" spans="2:10" ht="57.75" x14ac:dyDescent="0.25">
      <c r="B10" s="126" t="s">
        <v>173</v>
      </c>
      <c r="C10" s="107" t="s">
        <v>174</v>
      </c>
      <c r="D10" s="106" t="s">
        <v>167</v>
      </c>
    </row>
    <row r="11" spans="2:10" ht="71.25" x14ac:dyDescent="0.25">
      <c r="B11" s="127"/>
      <c r="C11" s="107" t="s">
        <v>175</v>
      </c>
      <c r="D11" s="106" t="s">
        <v>186</v>
      </c>
    </row>
    <row r="12" spans="2:10" ht="57" x14ac:dyDescent="0.25">
      <c r="B12" s="106" t="s">
        <v>176</v>
      </c>
      <c r="C12" s="106" t="s">
        <v>177</v>
      </c>
      <c r="D12" s="106" t="s">
        <v>167</v>
      </c>
    </row>
    <row r="13" spans="2:10" ht="42.75" x14ac:dyDescent="0.25">
      <c r="B13" s="106" t="s">
        <v>178</v>
      </c>
      <c r="C13" s="106" t="s">
        <v>179</v>
      </c>
      <c r="D13" s="106" t="s">
        <v>180</v>
      </c>
    </row>
    <row r="14" spans="2:10" ht="57" x14ac:dyDescent="0.25">
      <c r="B14" s="106" t="s">
        <v>181</v>
      </c>
      <c r="C14" s="106" t="s">
        <v>182</v>
      </c>
      <c r="D14" s="106" t="s">
        <v>183</v>
      </c>
    </row>
    <row r="15" spans="2:10" ht="57" x14ac:dyDescent="0.25">
      <c r="B15" s="106" t="s">
        <v>184</v>
      </c>
      <c r="C15" s="106" t="s">
        <v>185</v>
      </c>
      <c r="D15" s="106" t="s">
        <v>183</v>
      </c>
    </row>
  </sheetData>
  <mergeCells count="3">
    <mergeCell ref="B4:D4"/>
    <mergeCell ref="B8:B9"/>
    <mergeCell ref="B10:B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22"/>
  <sheetViews>
    <sheetView tabSelected="1" topLeftCell="B60" zoomScale="80" zoomScaleNormal="80" zoomScaleSheetLayoutView="110" workbookViewId="0">
      <selection activeCell="E71" sqref="E71"/>
    </sheetView>
  </sheetViews>
  <sheetFormatPr defaultColWidth="9.140625" defaultRowHeight="15" x14ac:dyDescent="0.25"/>
  <cols>
    <col min="1" max="1" width="17" style="2" customWidth="1"/>
    <col min="2" max="2" width="74" style="2" customWidth="1"/>
    <col min="3" max="3" width="18.85546875" style="2" bestFit="1" customWidth="1"/>
    <col min="4" max="4" width="18.140625" style="2" customWidth="1"/>
    <col min="5" max="5" width="18.85546875" style="2" bestFit="1" customWidth="1"/>
    <col min="6" max="6" width="17.140625" style="2" bestFit="1" customWidth="1"/>
    <col min="7" max="7" width="13.85546875" style="2" customWidth="1"/>
    <col min="8" max="8" width="17.140625" style="2" bestFit="1" customWidth="1"/>
    <col min="9" max="9" width="13.28515625" style="2" customWidth="1"/>
    <col min="10" max="10" width="16.28515625" style="2" customWidth="1"/>
    <col min="11" max="11" width="13.28515625" style="2" customWidth="1"/>
    <col min="12" max="12" width="15.28515625" style="2" bestFit="1" customWidth="1"/>
    <col min="13" max="15" width="11.7109375" style="2" customWidth="1"/>
    <col min="16" max="16" width="15.140625" style="2" bestFit="1" customWidth="1"/>
    <col min="17" max="17" width="16.140625" style="2" bestFit="1" customWidth="1"/>
    <col min="18" max="18" width="9.140625" style="2" bestFit="1" customWidth="1"/>
    <col min="19" max="19" width="8.7109375" style="2" bestFit="1" customWidth="1"/>
    <col min="20" max="20" width="16.140625" style="2" bestFit="1" customWidth="1"/>
    <col min="21" max="21" width="9.5703125" style="2" bestFit="1" customWidth="1"/>
    <col min="22" max="22" width="7.85546875" style="2" bestFit="1" customWidth="1"/>
    <col min="23" max="23" width="16.140625" style="2" bestFit="1" customWidth="1"/>
    <col min="24" max="25" width="9.140625" style="2"/>
    <col min="26" max="26" width="17.7109375" style="2" customWidth="1"/>
    <col min="27" max="28" width="11.42578125" style="2" customWidth="1"/>
    <col min="29" max="16384" width="9.140625" style="2"/>
  </cols>
  <sheetData>
    <row r="2" spans="1:26" x14ac:dyDescent="0.25">
      <c r="C2" s="128" t="s">
        <v>192</v>
      </c>
      <c r="D2" s="128"/>
      <c r="E2" s="128"/>
      <c r="F2" s="128"/>
      <c r="G2" s="128"/>
    </row>
    <row r="4" spans="1:26" x14ac:dyDescent="0.25">
      <c r="A4" s="1" t="s">
        <v>0</v>
      </c>
      <c r="B4" s="57" t="s">
        <v>190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1" t="s">
        <v>1</v>
      </c>
      <c r="B5" s="57" t="s">
        <v>191</v>
      </c>
      <c r="O5" s="3"/>
      <c r="P5" s="3"/>
      <c r="Q5" s="3"/>
      <c r="R5" s="3"/>
      <c r="S5" s="3"/>
      <c r="T5" s="58"/>
      <c r="U5" s="58"/>
      <c r="V5" s="59" t="s">
        <v>2</v>
      </c>
      <c r="W5" s="58"/>
      <c r="X5" s="58"/>
      <c r="Y5" s="3"/>
      <c r="Z5" s="3"/>
    </row>
    <row r="6" spans="1:26" x14ac:dyDescent="0.25">
      <c r="A6" s="1" t="s">
        <v>159</v>
      </c>
      <c r="B6" s="60" t="s">
        <v>6</v>
      </c>
      <c r="O6" s="3"/>
      <c r="P6" s="3"/>
      <c r="Q6" s="3"/>
      <c r="R6" s="3"/>
      <c r="S6" s="3"/>
      <c r="T6" s="58"/>
      <c r="U6" s="58"/>
      <c r="V6" s="59" t="s">
        <v>3</v>
      </c>
      <c r="W6" s="58"/>
      <c r="X6" s="58"/>
      <c r="Y6" s="3"/>
      <c r="Z6" s="3"/>
    </row>
    <row r="7" spans="1:26" x14ac:dyDescent="0.25">
      <c r="A7" s="1" t="s">
        <v>160</v>
      </c>
      <c r="B7" s="61" t="str">
        <f>INDEX($V$5:$V$12,(MATCH(B6,$V$5:$V$12,0)-1))</f>
        <v>2021-22</v>
      </c>
      <c r="O7" s="3"/>
      <c r="P7" s="3"/>
      <c r="Q7" s="3"/>
      <c r="R7" s="3"/>
      <c r="S7" s="3"/>
      <c r="T7" s="58"/>
      <c r="U7" s="58"/>
      <c r="V7" s="59" t="s">
        <v>4</v>
      </c>
      <c r="W7" s="62"/>
      <c r="X7" s="58"/>
      <c r="Y7" s="3"/>
      <c r="Z7" s="3"/>
    </row>
    <row r="8" spans="1:26" x14ac:dyDescent="0.25">
      <c r="O8" s="3"/>
      <c r="P8" s="3"/>
      <c r="Q8" s="3"/>
      <c r="R8" s="3"/>
      <c r="S8" s="3"/>
      <c r="T8" s="58"/>
      <c r="U8" s="58"/>
      <c r="V8" s="59" t="s">
        <v>5</v>
      </c>
      <c r="W8" s="58"/>
      <c r="X8" s="58"/>
      <c r="Y8" s="3"/>
      <c r="Z8" s="3"/>
    </row>
    <row r="9" spans="1:26" s="4" customFormat="1" hidden="1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T9" s="63"/>
      <c r="U9" s="63"/>
      <c r="V9" s="64" t="s">
        <v>6</v>
      </c>
      <c r="W9" s="63"/>
      <c r="X9" s="63"/>
    </row>
    <row r="10" spans="1:26" s="4" customFormat="1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T10" s="63"/>
      <c r="U10" s="63"/>
      <c r="V10" s="64" t="s">
        <v>7</v>
      </c>
      <c r="W10" s="63"/>
      <c r="X10" s="63"/>
    </row>
    <row r="11" spans="1:26" ht="18.75" x14ac:dyDescent="0.25">
      <c r="B11" s="6" t="s">
        <v>8</v>
      </c>
      <c r="D11" s="73"/>
      <c r="F11" s="73"/>
      <c r="T11" s="65"/>
      <c r="U11" s="65"/>
      <c r="V11" s="66" t="s">
        <v>116</v>
      </c>
      <c r="W11" s="65"/>
      <c r="X11" s="65"/>
    </row>
    <row r="12" spans="1:26" x14ac:dyDescent="0.25">
      <c r="B12" s="7" t="s">
        <v>9</v>
      </c>
      <c r="C12" s="130" t="s">
        <v>10</v>
      </c>
      <c r="D12" s="131"/>
      <c r="E12" s="130" t="s">
        <v>11</v>
      </c>
      <c r="F12" s="131"/>
      <c r="G12" s="130" t="s">
        <v>12</v>
      </c>
      <c r="H12" s="131"/>
      <c r="I12" s="130" t="s">
        <v>13</v>
      </c>
      <c r="J12" s="131"/>
      <c r="K12" s="132" t="s">
        <v>14</v>
      </c>
      <c r="L12" s="133"/>
      <c r="T12" s="65"/>
      <c r="U12" s="65"/>
      <c r="V12" s="66" t="s">
        <v>117</v>
      </c>
      <c r="W12" s="65"/>
      <c r="X12" s="65"/>
    </row>
    <row r="13" spans="1:26" s="3" customFormat="1" x14ac:dyDescent="0.25">
      <c r="B13" s="8"/>
      <c r="C13" s="9" t="str">
        <f>$B$6</f>
        <v>2022-23</v>
      </c>
      <c r="D13" s="9" t="str">
        <f>$B$7</f>
        <v>2021-22</v>
      </c>
      <c r="E13" s="9" t="str">
        <f>$B$6</f>
        <v>2022-23</v>
      </c>
      <c r="F13" s="9" t="str">
        <f>$B$7</f>
        <v>2021-22</v>
      </c>
      <c r="G13" s="9" t="str">
        <f>$B$6</f>
        <v>2022-23</v>
      </c>
      <c r="H13" s="9" t="str">
        <f>$B$7</f>
        <v>2021-22</v>
      </c>
      <c r="I13" s="9" t="str">
        <f>$B$6</f>
        <v>2022-23</v>
      </c>
      <c r="J13" s="9" t="str">
        <f>$B$7</f>
        <v>2021-22</v>
      </c>
      <c r="K13" s="9" t="str">
        <f>$B$6</f>
        <v>2022-23</v>
      </c>
      <c r="L13" s="9" t="str">
        <f>$B$7</f>
        <v>2021-22</v>
      </c>
      <c r="T13" s="58"/>
      <c r="U13" s="58"/>
      <c r="V13" s="58"/>
      <c r="W13" s="58"/>
      <c r="X13" s="58"/>
    </row>
    <row r="14" spans="1:26" ht="15" customHeight="1" x14ac:dyDescent="0.25">
      <c r="B14" s="96" t="s">
        <v>15</v>
      </c>
      <c r="C14" s="10">
        <f>+C15+C16+C17+C18+C19+C20</f>
        <v>331038939</v>
      </c>
      <c r="D14" s="10">
        <f t="shared" ref="D14:L14" si="0">+D15+D16+D17+D18+D19+D20</f>
        <v>260055016</v>
      </c>
      <c r="E14" s="10">
        <f t="shared" si="0"/>
        <v>312968751</v>
      </c>
      <c r="F14" s="10">
        <f t="shared" si="0"/>
        <v>248071214</v>
      </c>
      <c r="G14" s="10">
        <f t="shared" si="0"/>
        <v>0</v>
      </c>
      <c r="H14" s="10">
        <f t="shared" si="0"/>
        <v>288141147</v>
      </c>
      <c r="I14" s="10">
        <f t="shared" si="0"/>
        <v>0</v>
      </c>
      <c r="J14" s="10">
        <f t="shared" si="0"/>
        <v>305968589</v>
      </c>
      <c r="K14" s="10">
        <f t="shared" si="0"/>
        <v>644007690</v>
      </c>
      <c r="L14" s="10">
        <f t="shared" si="0"/>
        <v>1102235966</v>
      </c>
      <c r="M14" s="11"/>
      <c r="N14" s="115"/>
      <c r="T14" s="65"/>
      <c r="U14" s="65"/>
      <c r="V14" s="65"/>
      <c r="W14" s="65"/>
      <c r="X14" s="65"/>
    </row>
    <row r="15" spans="1:26" ht="15" customHeight="1" x14ac:dyDescent="0.25">
      <c r="B15" s="97" t="s">
        <v>16</v>
      </c>
      <c r="C15" s="13">
        <v>277220820</v>
      </c>
      <c r="D15" s="13">
        <v>208174579</v>
      </c>
      <c r="E15" s="13">
        <v>253937417</v>
      </c>
      <c r="F15" s="113">
        <v>197150664</v>
      </c>
      <c r="G15" s="13"/>
      <c r="H15" s="113">
        <v>236143675</v>
      </c>
      <c r="I15" s="113"/>
      <c r="J15" s="113">
        <v>253217444</v>
      </c>
      <c r="K15" s="14">
        <f>C15+E15+G15+I15</f>
        <v>531158237</v>
      </c>
      <c r="L15" s="14">
        <f>D15+F15+H15+J15</f>
        <v>894686362</v>
      </c>
      <c r="M15" s="15"/>
      <c r="N15" s="115"/>
      <c r="T15" s="65"/>
      <c r="U15" s="65"/>
      <c r="V15" s="65"/>
      <c r="W15" s="65"/>
      <c r="X15" s="65"/>
    </row>
    <row r="16" spans="1:26" ht="15" customHeight="1" x14ac:dyDescent="0.25">
      <c r="B16" s="97" t="s">
        <v>17</v>
      </c>
      <c r="C16" s="13">
        <v>53818119</v>
      </c>
      <c r="D16" s="13">
        <v>51880437</v>
      </c>
      <c r="E16" s="13">
        <v>59031334</v>
      </c>
      <c r="F16" s="113">
        <v>50920550</v>
      </c>
      <c r="G16" s="13"/>
      <c r="H16" s="113">
        <v>51997472</v>
      </c>
      <c r="I16" s="113"/>
      <c r="J16" s="113">
        <v>52751145</v>
      </c>
      <c r="K16" s="14">
        <f t="shared" ref="K16:L20" si="1">C16+E16+G16+I16</f>
        <v>112849453</v>
      </c>
      <c r="L16" s="14">
        <f t="shared" si="1"/>
        <v>207549604</v>
      </c>
      <c r="M16" s="15"/>
      <c r="N16" s="115"/>
      <c r="T16" s="65"/>
      <c r="U16" s="65"/>
      <c r="V16" s="65"/>
      <c r="W16" s="65"/>
      <c r="X16" s="65"/>
    </row>
    <row r="17" spans="2:24" ht="15" customHeight="1" x14ac:dyDescent="0.25">
      <c r="B17" s="97" t="s">
        <v>18</v>
      </c>
      <c r="C17" s="13"/>
      <c r="D17" s="112">
        <v>0</v>
      </c>
      <c r="E17" s="13"/>
      <c r="F17" s="114">
        <v>0</v>
      </c>
      <c r="G17" s="13"/>
      <c r="H17" s="114">
        <v>0</v>
      </c>
      <c r="I17" s="114"/>
      <c r="J17" s="114">
        <v>0</v>
      </c>
      <c r="K17" s="14">
        <f t="shared" si="1"/>
        <v>0</v>
      </c>
      <c r="L17" s="14">
        <f t="shared" si="1"/>
        <v>0</v>
      </c>
      <c r="M17" s="15"/>
      <c r="N17" s="115"/>
      <c r="T17" s="65"/>
      <c r="U17" s="65"/>
      <c r="V17" s="65"/>
      <c r="W17" s="65"/>
      <c r="X17" s="65"/>
    </row>
    <row r="18" spans="2:24" ht="15" customHeight="1" x14ac:dyDescent="0.25">
      <c r="B18" s="97" t="s">
        <v>19</v>
      </c>
      <c r="C18" s="13"/>
      <c r="D18" s="112">
        <v>0</v>
      </c>
      <c r="E18" s="13"/>
      <c r="F18" s="114">
        <v>0</v>
      </c>
      <c r="G18" s="13"/>
      <c r="H18" s="13"/>
      <c r="I18" s="13"/>
      <c r="J18" s="13"/>
      <c r="K18" s="14">
        <f t="shared" si="1"/>
        <v>0</v>
      </c>
      <c r="L18" s="14">
        <f t="shared" si="1"/>
        <v>0</v>
      </c>
      <c r="M18" s="15"/>
      <c r="N18" s="115"/>
    </row>
    <row r="19" spans="2:24" ht="15" customHeight="1" x14ac:dyDescent="0.25">
      <c r="B19" s="97" t="s">
        <v>20</v>
      </c>
      <c r="C19" s="13"/>
      <c r="D19" s="112">
        <v>0</v>
      </c>
      <c r="E19" s="13"/>
      <c r="F19" s="114">
        <v>0</v>
      </c>
      <c r="G19" s="13"/>
      <c r="H19" s="13"/>
      <c r="I19" s="13"/>
      <c r="J19" s="13"/>
      <c r="K19" s="14">
        <f t="shared" si="1"/>
        <v>0</v>
      </c>
      <c r="L19" s="14">
        <f t="shared" si="1"/>
        <v>0</v>
      </c>
      <c r="M19" s="15"/>
      <c r="N19" s="115"/>
    </row>
    <row r="20" spans="2:24" ht="15" customHeight="1" x14ac:dyDescent="0.25">
      <c r="B20" s="97" t="s">
        <v>21</v>
      </c>
      <c r="C20" s="13"/>
      <c r="D20" s="13"/>
      <c r="E20" s="13"/>
      <c r="F20" s="13"/>
      <c r="G20" s="13"/>
      <c r="H20" s="13"/>
      <c r="I20" s="13"/>
      <c r="J20" s="13"/>
      <c r="K20" s="14">
        <f t="shared" si="1"/>
        <v>0</v>
      </c>
      <c r="L20" s="14">
        <f t="shared" si="1"/>
        <v>0</v>
      </c>
      <c r="M20" s="15"/>
      <c r="N20" s="115"/>
    </row>
    <row r="21" spans="2:24" ht="15" customHeight="1" x14ac:dyDescent="0.25">
      <c r="B21" s="93" t="s">
        <v>22</v>
      </c>
      <c r="C21" s="10">
        <f t="shared" ref="C21:L21" si="2">+C22+C23+C24</f>
        <v>0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>+I22+I23+I24</f>
        <v>0</v>
      </c>
      <c r="J21" s="10">
        <f>+J22+J23+J24</f>
        <v>0</v>
      </c>
      <c r="K21" s="10">
        <f t="shared" si="2"/>
        <v>0</v>
      </c>
      <c r="L21" s="10">
        <f t="shared" si="2"/>
        <v>0</v>
      </c>
      <c r="M21" s="17"/>
      <c r="N21" s="115"/>
    </row>
    <row r="22" spans="2:24" ht="15" customHeight="1" x14ac:dyDescent="0.25">
      <c r="B22" s="98" t="s">
        <v>23</v>
      </c>
      <c r="C22" s="18"/>
      <c r="D22" s="18"/>
      <c r="E22" s="18"/>
      <c r="F22" s="18"/>
      <c r="G22" s="18"/>
      <c r="H22" s="18"/>
      <c r="I22" s="18"/>
      <c r="J22" s="18"/>
      <c r="K22" s="14">
        <f t="shared" ref="K22:L24" si="3">C22+E22+G22+I22</f>
        <v>0</v>
      </c>
      <c r="L22" s="14">
        <f t="shared" si="3"/>
        <v>0</v>
      </c>
      <c r="M22" s="19"/>
      <c r="N22" s="115"/>
    </row>
    <row r="23" spans="2:24" ht="15" customHeight="1" x14ac:dyDescent="0.25">
      <c r="B23" s="98" t="s">
        <v>24</v>
      </c>
      <c r="C23" s="18"/>
      <c r="D23" s="18"/>
      <c r="E23" s="18"/>
      <c r="F23" s="18"/>
      <c r="G23" s="18"/>
      <c r="H23" s="18"/>
      <c r="I23" s="18"/>
      <c r="J23" s="18"/>
      <c r="K23" s="14">
        <f t="shared" si="3"/>
        <v>0</v>
      </c>
      <c r="L23" s="14">
        <f t="shared" si="3"/>
        <v>0</v>
      </c>
      <c r="M23" s="19"/>
      <c r="N23" s="115"/>
    </row>
    <row r="24" spans="2:24" ht="15" customHeight="1" x14ac:dyDescent="0.25">
      <c r="B24" s="97" t="s">
        <v>25</v>
      </c>
      <c r="C24" s="18"/>
      <c r="D24" s="18"/>
      <c r="E24" s="18"/>
      <c r="F24" s="18"/>
      <c r="G24" s="18"/>
      <c r="H24" s="18"/>
      <c r="I24" s="18"/>
      <c r="J24" s="18"/>
      <c r="K24" s="14">
        <f t="shared" si="3"/>
        <v>0</v>
      </c>
      <c r="L24" s="14">
        <f t="shared" si="3"/>
        <v>0</v>
      </c>
      <c r="M24" s="15"/>
      <c r="N24" s="115"/>
    </row>
    <row r="25" spans="2:24" ht="15" customHeight="1" x14ac:dyDescent="0.25">
      <c r="B25" s="93" t="s">
        <v>26</v>
      </c>
      <c r="C25" s="10">
        <f>+C26+C27+C28</f>
        <v>5258222.16</v>
      </c>
      <c r="D25" s="10">
        <f t="shared" ref="D25:L25" si="4">+D26+D27+D28</f>
        <v>13397864</v>
      </c>
      <c r="E25" s="10">
        <f t="shared" si="4"/>
        <v>7747990.04</v>
      </c>
      <c r="F25" s="10">
        <f t="shared" si="4"/>
        <v>16859162.609999999</v>
      </c>
      <c r="G25" s="10">
        <f t="shared" si="4"/>
        <v>0</v>
      </c>
      <c r="H25" s="10">
        <f t="shared" si="4"/>
        <v>14779131</v>
      </c>
      <c r="I25" s="10">
        <f t="shared" si="4"/>
        <v>0</v>
      </c>
      <c r="J25" s="10">
        <f t="shared" si="4"/>
        <v>12774295.789999999</v>
      </c>
      <c r="K25" s="20">
        <f t="shared" si="4"/>
        <v>13006212.199999999</v>
      </c>
      <c r="L25" s="20">
        <f t="shared" si="4"/>
        <v>57810453.399999999</v>
      </c>
      <c r="M25" s="17"/>
      <c r="N25" s="115"/>
    </row>
    <row r="26" spans="2:24" ht="15" customHeight="1" x14ac:dyDescent="0.25">
      <c r="B26" s="98" t="s">
        <v>131</v>
      </c>
      <c r="C26" s="18"/>
      <c r="D26" s="18"/>
      <c r="E26" s="18"/>
      <c r="F26" s="18"/>
      <c r="G26" s="18"/>
      <c r="H26" s="18"/>
      <c r="I26" s="18"/>
      <c r="J26" s="18"/>
      <c r="K26" s="14">
        <f t="shared" ref="K26:L28" si="5">C26+E26+G26+I26</f>
        <v>0</v>
      </c>
      <c r="L26" s="14">
        <f t="shared" si="5"/>
        <v>0</v>
      </c>
      <c r="M26" s="19"/>
      <c r="N26" s="115"/>
    </row>
    <row r="27" spans="2:24" ht="15" customHeight="1" x14ac:dyDescent="0.25">
      <c r="B27" s="97" t="s">
        <v>27</v>
      </c>
      <c r="C27" s="13">
        <v>1185095</v>
      </c>
      <c r="D27" s="13">
        <v>1162458</v>
      </c>
      <c r="E27" s="13">
        <v>1166279</v>
      </c>
      <c r="F27" s="13">
        <v>1160361</v>
      </c>
      <c r="G27" s="13"/>
      <c r="H27" s="13">
        <v>1177804</v>
      </c>
      <c r="I27" s="13"/>
      <c r="J27" s="13">
        <v>1161767</v>
      </c>
      <c r="K27" s="14">
        <f t="shared" si="5"/>
        <v>2351374</v>
      </c>
      <c r="L27" s="14">
        <f t="shared" si="5"/>
        <v>4662390</v>
      </c>
      <c r="M27" s="15"/>
      <c r="N27" s="115"/>
    </row>
    <row r="28" spans="2:24" ht="15" customHeight="1" x14ac:dyDescent="0.25">
      <c r="B28" s="97" t="s">
        <v>28</v>
      </c>
      <c r="C28" s="13">
        <v>4073127.16</v>
      </c>
      <c r="D28" s="13">
        <v>12235406</v>
      </c>
      <c r="E28" s="13">
        <v>6581711.04</v>
      </c>
      <c r="F28" s="13">
        <v>15698801.609999999</v>
      </c>
      <c r="G28" s="13"/>
      <c r="H28" s="13">
        <v>13601327</v>
      </c>
      <c r="I28" s="13"/>
      <c r="J28" s="13">
        <v>11612528.789999999</v>
      </c>
      <c r="K28" s="14">
        <f t="shared" si="5"/>
        <v>10654838.199999999</v>
      </c>
      <c r="L28" s="14">
        <f t="shared" si="5"/>
        <v>53148063.399999999</v>
      </c>
      <c r="M28" s="15"/>
      <c r="N28" s="115"/>
    </row>
    <row r="29" spans="2:24" ht="15" customHeight="1" x14ac:dyDescent="0.25">
      <c r="B29" s="99" t="s">
        <v>29</v>
      </c>
      <c r="C29" s="21">
        <f>+C14+C21+C25</f>
        <v>336297161.16000003</v>
      </c>
      <c r="D29" s="21">
        <f t="shared" ref="D29:L29" si="6">+D14+D21+D25</f>
        <v>273452880</v>
      </c>
      <c r="E29" s="21">
        <f t="shared" si="6"/>
        <v>320716741.04000002</v>
      </c>
      <c r="F29" s="21">
        <f t="shared" si="6"/>
        <v>264930376.61000001</v>
      </c>
      <c r="G29" s="21">
        <f t="shared" si="6"/>
        <v>0</v>
      </c>
      <c r="H29" s="21">
        <f t="shared" si="6"/>
        <v>302920278</v>
      </c>
      <c r="I29" s="21">
        <f t="shared" si="6"/>
        <v>0</v>
      </c>
      <c r="J29" s="21">
        <f t="shared" si="6"/>
        <v>318742884.79000002</v>
      </c>
      <c r="K29" s="22">
        <f t="shared" si="6"/>
        <v>657013902.20000005</v>
      </c>
      <c r="L29" s="22">
        <f t="shared" si="6"/>
        <v>1160046419.4000001</v>
      </c>
      <c r="M29" s="23"/>
      <c r="N29" s="115"/>
    </row>
    <row r="30" spans="2:24" ht="15" customHeight="1" x14ac:dyDescent="0.25">
      <c r="B30" s="100" t="s">
        <v>30</v>
      </c>
      <c r="C30" s="24"/>
      <c r="D30" s="24"/>
      <c r="E30" s="24"/>
      <c r="F30" s="24"/>
      <c r="G30" s="24"/>
      <c r="H30" s="24"/>
      <c r="I30" s="24"/>
      <c r="J30" s="24"/>
      <c r="K30" s="14">
        <f>C30+E30+G30+I30</f>
        <v>0</v>
      </c>
      <c r="L30" s="14">
        <f>D30+F30+H30+J30</f>
        <v>0</v>
      </c>
      <c r="M30" s="25"/>
      <c r="N30" s="115"/>
    </row>
    <row r="31" spans="2:24" ht="15" customHeight="1" x14ac:dyDescent="0.25">
      <c r="B31" s="99" t="s">
        <v>31</v>
      </c>
      <c r="C31" s="21">
        <f>+C29-C22+C30</f>
        <v>336297161.16000003</v>
      </c>
      <c r="D31" s="21">
        <f t="shared" ref="D31:L31" si="7">+D29-D22+D30</f>
        <v>273452880</v>
      </c>
      <c r="E31" s="21">
        <f t="shared" si="7"/>
        <v>320716741.04000002</v>
      </c>
      <c r="F31" s="21">
        <f t="shared" si="7"/>
        <v>264930376.61000001</v>
      </c>
      <c r="G31" s="21">
        <f t="shared" si="7"/>
        <v>0</v>
      </c>
      <c r="H31" s="21">
        <f t="shared" si="7"/>
        <v>302920278</v>
      </c>
      <c r="I31" s="21">
        <f t="shared" si="7"/>
        <v>0</v>
      </c>
      <c r="J31" s="21">
        <f t="shared" si="7"/>
        <v>318742884.79000002</v>
      </c>
      <c r="K31" s="22">
        <f t="shared" si="7"/>
        <v>657013902.20000005</v>
      </c>
      <c r="L31" s="22">
        <f t="shared" si="7"/>
        <v>1160046419.4000001</v>
      </c>
      <c r="M31" s="26"/>
      <c r="N31" s="115"/>
    </row>
    <row r="32" spans="2:24" ht="30" x14ac:dyDescent="0.25">
      <c r="B32" s="101" t="s">
        <v>122</v>
      </c>
      <c r="C32" s="71"/>
      <c r="D32" s="71" t="s">
        <v>123</v>
      </c>
      <c r="E32" s="71"/>
      <c r="F32" s="71"/>
      <c r="G32" s="71"/>
      <c r="H32" s="71"/>
      <c r="I32" s="71"/>
      <c r="J32" s="71"/>
      <c r="K32" s="71"/>
      <c r="L32" s="71"/>
      <c r="M32" s="26"/>
    </row>
    <row r="33" spans="2:14" ht="15" customHeight="1" x14ac:dyDescent="0.25">
      <c r="B33" t="s">
        <v>132</v>
      </c>
      <c r="C33"/>
      <c r="D33"/>
      <c r="E33"/>
      <c r="F33"/>
      <c r="G33"/>
      <c r="H33"/>
      <c r="I33"/>
      <c r="J33"/>
      <c r="K33"/>
      <c r="L33"/>
      <c r="M33" s="26"/>
    </row>
    <row r="34" spans="2:14" ht="15" customHeight="1" x14ac:dyDescent="0.25">
      <c r="B34"/>
      <c r="C34"/>
      <c r="D34"/>
      <c r="E34"/>
      <c r="F34"/>
      <c r="G34"/>
      <c r="H34"/>
      <c r="I34"/>
      <c r="J34"/>
      <c r="K34"/>
      <c r="L34"/>
      <c r="M34" s="26"/>
    </row>
    <row r="35" spans="2:14" ht="15" customHeight="1" x14ac:dyDescent="0.25">
      <c r="B35" s="7" t="s">
        <v>32</v>
      </c>
      <c r="C35" s="130" t="s">
        <v>10</v>
      </c>
      <c r="D35" s="131"/>
      <c r="E35" s="130" t="s">
        <v>11</v>
      </c>
      <c r="F35" s="131"/>
      <c r="G35" s="130" t="s">
        <v>12</v>
      </c>
      <c r="H35" s="131"/>
      <c r="I35" s="130" t="s">
        <v>13</v>
      </c>
      <c r="J35" s="131"/>
      <c r="K35" s="132" t="s">
        <v>14</v>
      </c>
      <c r="L35" s="133"/>
      <c r="M35" s="26"/>
    </row>
    <row r="36" spans="2:14" x14ac:dyDescent="0.25">
      <c r="B36" s="7"/>
      <c r="C36" s="9" t="str">
        <f>$B$6</f>
        <v>2022-23</v>
      </c>
      <c r="D36" s="9" t="str">
        <f>$B$7</f>
        <v>2021-22</v>
      </c>
      <c r="E36" s="9" t="str">
        <f>$B$6</f>
        <v>2022-23</v>
      </c>
      <c r="F36" s="9" t="str">
        <f>$B$7</f>
        <v>2021-22</v>
      </c>
      <c r="G36" s="9" t="str">
        <f>$B$6</f>
        <v>2022-23</v>
      </c>
      <c r="H36" s="9" t="str">
        <f>$B$7</f>
        <v>2021-22</v>
      </c>
      <c r="I36" s="9" t="str">
        <f>$B$6</f>
        <v>2022-23</v>
      </c>
      <c r="J36" s="9" t="str">
        <f>$B$7</f>
        <v>2021-22</v>
      </c>
      <c r="K36" s="9" t="str">
        <f>$B$6</f>
        <v>2022-23</v>
      </c>
      <c r="L36" s="9" t="str">
        <f>$B$7</f>
        <v>2021-22</v>
      </c>
    </row>
    <row r="37" spans="2:14" x14ac:dyDescent="0.25">
      <c r="B37" s="93" t="s">
        <v>33</v>
      </c>
      <c r="C37" s="27">
        <f>+C38+C39+C40</f>
        <v>281467977</v>
      </c>
      <c r="D37" s="27">
        <f t="shared" ref="D37:L37" si="8">+D38+D39+D40</f>
        <v>211910660</v>
      </c>
      <c r="E37" s="27">
        <f t="shared" si="8"/>
        <v>276712743.5</v>
      </c>
      <c r="F37" s="27">
        <f t="shared" si="8"/>
        <v>218313910</v>
      </c>
      <c r="G37" s="27">
        <f t="shared" si="8"/>
        <v>0</v>
      </c>
      <c r="H37" s="27">
        <f t="shared" si="8"/>
        <v>249350720</v>
      </c>
      <c r="I37" s="27">
        <f t="shared" si="8"/>
        <v>0</v>
      </c>
      <c r="J37" s="27">
        <f t="shared" si="8"/>
        <v>270876867</v>
      </c>
      <c r="K37" s="28">
        <f t="shared" si="8"/>
        <v>558180720.5</v>
      </c>
      <c r="L37" s="28">
        <f t="shared" si="8"/>
        <v>950452157</v>
      </c>
      <c r="N37" s="115"/>
    </row>
    <row r="38" spans="2:14" x14ac:dyDescent="0.25">
      <c r="B38" s="97" t="s">
        <v>133</v>
      </c>
      <c r="C38" s="13"/>
      <c r="D38" s="13"/>
      <c r="E38" s="13"/>
      <c r="F38" s="13"/>
      <c r="G38" s="13"/>
      <c r="H38" s="13"/>
      <c r="I38" s="13"/>
      <c r="J38" s="13"/>
      <c r="K38" s="28">
        <f t="shared" ref="K38:L40" si="9">C38+E38+G38+I38</f>
        <v>0</v>
      </c>
      <c r="L38" s="28">
        <f t="shared" si="9"/>
        <v>0</v>
      </c>
      <c r="N38" s="115"/>
    </row>
    <row r="39" spans="2:14" x14ac:dyDescent="0.25">
      <c r="B39" s="97" t="s">
        <v>34</v>
      </c>
      <c r="C39" s="13">
        <v>281467977</v>
      </c>
      <c r="D39" s="116">
        <v>211910660</v>
      </c>
      <c r="E39" s="13">
        <v>276712743.5</v>
      </c>
      <c r="F39" s="116">
        <v>218313910</v>
      </c>
      <c r="G39" s="13"/>
      <c r="H39" s="116">
        <v>249350720</v>
      </c>
      <c r="I39" s="13"/>
      <c r="J39" s="116">
        <v>270876867</v>
      </c>
      <c r="K39" s="28">
        <f t="shared" si="9"/>
        <v>558180720.5</v>
      </c>
      <c r="L39" s="28">
        <f t="shared" si="9"/>
        <v>950452157</v>
      </c>
      <c r="N39" s="115"/>
    </row>
    <row r="40" spans="2:14" x14ac:dyDescent="0.25">
      <c r="B40" s="97" t="s">
        <v>35</v>
      </c>
      <c r="C40" s="13"/>
      <c r="D40" s="13"/>
      <c r="E40" s="13"/>
      <c r="F40" s="13"/>
      <c r="G40" s="13"/>
      <c r="H40" s="13"/>
      <c r="I40" s="13"/>
      <c r="J40" s="13"/>
      <c r="K40" s="28">
        <f t="shared" si="9"/>
        <v>0</v>
      </c>
      <c r="L40" s="28">
        <f t="shared" si="9"/>
        <v>0</v>
      </c>
      <c r="N40" s="115"/>
    </row>
    <row r="41" spans="2:14" x14ac:dyDescent="0.25">
      <c r="B41" s="102" t="s">
        <v>36</v>
      </c>
      <c r="C41" s="27">
        <f>+C42+C43+C44+C45+C46+C47+C48</f>
        <v>53228355.5</v>
      </c>
      <c r="D41" s="27">
        <f t="shared" ref="D41:L41" si="10">+D42+D43+D44+D45+D46+D47+D48</f>
        <v>54390292</v>
      </c>
      <c r="E41" s="27">
        <f t="shared" si="10"/>
        <v>51452646</v>
      </c>
      <c r="F41" s="27">
        <f t="shared" si="10"/>
        <v>48676869</v>
      </c>
      <c r="G41" s="27">
        <f t="shared" si="10"/>
        <v>0</v>
      </c>
      <c r="H41" s="27">
        <f t="shared" si="10"/>
        <v>45797944</v>
      </c>
      <c r="I41" s="27">
        <f t="shared" si="10"/>
        <v>0</v>
      </c>
      <c r="J41" s="27">
        <f t="shared" si="10"/>
        <v>46246810</v>
      </c>
      <c r="K41" s="28">
        <f t="shared" si="10"/>
        <v>104681001.5</v>
      </c>
      <c r="L41" s="28">
        <f t="shared" si="10"/>
        <v>195111915</v>
      </c>
      <c r="N41" s="115"/>
    </row>
    <row r="42" spans="2:14" x14ac:dyDescent="0.25">
      <c r="B42" s="97" t="s">
        <v>37</v>
      </c>
      <c r="C42" s="13">
        <v>799597</v>
      </c>
      <c r="D42" s="116">
        <v>846349</v>
      </c>
      <c r="E42" s="13">
        <v>1506329</v>
      </c>
      <c r="F42" s="116">
        <v>1309969</v>
      </c>
      <c r="G42" s="13"/>
      <c r="H42" s="116">
        <v>1353619</v>
      </c>
      <c r="I42" s="13"/>
      <c r="J42" s="116">
        <v>3355043</v>
      </c>
      <c r="K42" s="28">
        <f t="shared" ref="K42:L48" si="11">C42+E42+G42+I42</f>
        <v>2305926</v>
      </c>
      <c r="L42" s="28">
        <f t="shared" si="11"/>
        <v>6864980</v>
      </c>
      <c r="N42" s="115"/>
    </row>
    <row r="43" spans="2:14" x14ac:dyDescent="0.25">
      <c r="B43" s="97" t="s">
        <v>38</v>
      </c>
      <c r="C43" s="13">
        <v>37431193</v>
      </c>
      <c r="D43" s="116">
        <v>38206349</v>
      </c>
      <c r="E43" s="13">
        <v>36519154</v>
      </c>
      <c r="F43" s="116">
        <v>32117693</v>
      </c>
      <c r="G43" s="13"/>
      <c r="H43" s="116">
        <v>28722258</v>
      </c>
      <c r="I43" s="13"/>
      <c r="J43" s="116">
        <v>25012309</v>
      </c>
      <c r="K43" s="28">
        <f t="shared" si="11"/>
        <v>73950347</v>
      </c>
      <c r="L43" s="28">
        <f t="shared" si="11"/>
        <v>124058609</v>
      </c>
      <c r="N43" s="115"/>
    </row>
    <row r="44" spans="2:14" x14ac:dyDescent="0.25">
      <c r="B44" s="97" t="s">
        <v>39</v>
      </c>
      <c r="C44" s="13">
        <v>4335620.5</v>
      </c>
      <c r="D44" s="116">
        <v>4068381</v>
      </c>
      <c r="E44" s="13">
        <v>2686175</v>
      </c>
      <c r="F44" s="116">
        <v>4677963</v>
      </c>
      <c r="G44" s="13"/>
      <c r="H44" s="116">
        <v>5080553</v>
      </c>
      <c r="I44" s="13"/>
      <c r="J44" s="116">
        <v>7253426</v>
      </c>
      <c r="K44" s="28">
        <f t="shared" si="11"/>
        <v>7021795.5</v>
      </c>
      <c r="L44" s="28">
        <f t="shared" si="11"/>
        <v>21080323</v>
      </c>
      <c r="N44" s="115"/>
    </row>
    <row r="45" spans="2:14" x14ac:dyDescent="0.25">
      <c r="B45" s="97" t="s">
        <v>40</v>
      </c>
      <c r="C45" s="13">
        <v>6399469</v>
      </c>
      <c r="D45" s="116">
        <v>6362875</v>
      </c>
      <c r="E45" s="13">
        <v>6399835</v>
      </c>
      <c r="F45" s="116">
        <v>6366816</v>
      </c>
      <c r="G45" s="13"/>
      <c r="H45" s="116">
        <v>6378472</v>
      </c>
      <c r="I45" s="13"/>
      <c r="J45" s="116">
        <v>6397898</v>
      </c>
      <c r="K45" s="28">
        <f t="shared" si="11"/>
        <v>12799304</v>
      </c>
      <c r="L45" s="28">
        <f t="shared" si="11"/>
        <v>25506061</v>
      </c>
      <c r="N45" s="115"/>
    </row>
    <row r="46" spans="2:14" x14ac:dyDescent="0.25">
      <c r="B46" s="97" t="s">
        <v>41</v>
      </c>
      <c r="C46" s="13">
        <v>4262476</v>
      </c>
      <c r="D46" s="116">
        <v>4906338</v>
      </c>
      <c r="E46" s="13">
        <v>4341153</v>
      </c>
      <c r="F46" s="116">
        <v>4204428</v>
      </c>
      <c r="G46" s="13"/>
      <c r="H46" s="116">
        <v>4263042</v>
      </c>
      <c r="I46" s="13"/>
      <c r="J46" s="116">
        <v>4228134</v>
      </c>
      <c r="K46" s="28">
        <f t="shared" si="11"/>
        <v>8603629</v>
      </c>
      <c r="L46" s="28">
        <f t="shared" si="11"/>
        <v>17601942</v>
      </c>
      <c r="N46" s="115"/>
    </row>
    <row r="47" spans="2:14" x14ac:dyDescent="0.25">
      <c r="B47" s="97" t="s">
        <v>42</v>
      </c>
      <c r="C47" s="13"/>
      <c r="D47" s="13"/>
      <c r="E47" s="13"/>
      <c r="F47" s="13"/>
      <c r="G47" s="13"/>
      <c r="H47" s="13"/>
      <c r="I47" s="13"/>
      <c r="J47" s="13"/>
      <c r="K47" s="28">
        <f t="shared" si="11"/>
        <v>0</v>
      </c>
      <c r="L47" s="28">
        <f t="shared" si="11"/>
        <v>0</v>
      </c>
      <c r="N47" s="115"/>
    </row>
    <row r="48" spans="2:14" x14ac:dyDescent="0.25">
      <c r="B48" s="97" t="s">
        <v>43</v>
      </c>
      <c r="C48" s="13"/>
      <c r="D48" s="13"/>
      <c r="E48" s="13"/>
      <c r="F48" s="13"/>
      <c r="G48" s="13"/>
      <c r="H48" s="13"/>
      <c r="I48" s="13"/>
      <c r="J48" s="13"/>
      <c r="K48" s="28">
        <f t="shared" si="11"/>
        <v>0</v>
      </c>
      <c r="L48" s="28">
        <f t="shared" si="11"/>
        <v>0</v>
      </c>
      <c r="N48" s="115"/>
    </row>
    <row r="49" spans="2:14" x14ac:dyDescent="0.25">
      <c r="B49" s="95" t="s">
        <v>44</v>
      </c>
      <c r="C49" s="21">
        <f>+C37+C41</f>
        <v>334696332.5</v>
      </c>
      <c r="D49" s="21">
        <f t="shared" ref="D49:L49" si="12">+D37+D41</f>
        <v>266300952</v>
      </c>
      <c r="E49" s="21">
        <f t="shared" si="12"/>
        <v>328165389.5</v>
      </c>
      <c r="F49" s="21">
        <f t="shared" si="12"/>
        <v>266990779</v>
      </c>
      <c r="G49" s="21">
        <f t="shared" si="12"/>
        <v>0</v>
      </c>
      <c r="H49" s="21">
        <f t="shared" si="12"/>
        <v>295148664</v>
      </c>
      <c r="I49" s="21">
        <f t="shared" si="12"/>
        <v>0</v>
      </c>
      <c r="J49" s="21">
        <f t="shared" si="12"/>
        <v>317123677</v>
      </c>
      <c r="K49" s="22">
        <f t="shared" si="12"/>
        <v>662861722</v>
      </c>
      <c r="L49" s="22">
        <f t="shared" si="12"/>
        <v>1145564072</v>
      </c>
      <c r="N49" s="115"/>
    </row>
    <row r="50" spans="2:14" x14ac:dyDescent="0.25">
      <c r="B50" s="103" t="s">
        <v>45</v>
      </c>
      <c r="C50" s="31"/>
      <c r="D50" s="31"/>
      <c r="E50" s="31"/>
      <c r="F50" s="31"/>
      <c r="G50" s="31"/>
      <c r="H50" s="31"/>
      <c r="I50" s="31"/>
      <c r="J50" s="31"/>
      <c r="K50" s="72"/>
      <c r="L50" s="72"/>
      <c r="N50" s="115"/>
    </row>
    <row r="51" spans="2:14" x14ac:dyDescent="0.25">
      <c r="B51" s="95" t="s">
        <v>46</v>
      </c>
      <c r="C51" s="21">
        <f>C29-C49</f>
        <v>1600828.6600000262</v>
      </c>
      <c r="D51" s="21">
        <f t="shared" ref="D51:L51" si="13">D29-D49</f>
        <v>7151928</v>
      </c>
      <c r="E51" s="21">
        <f t="shared" si="13"/>
        <v>-7448648.4599999785</v>
      </c>
      <c r="F51" s="21">
        <f t="shared" si="13"/>
        <v>-2060402.3899999857</v>
      </c>
      <c r="G51" s="21">
        <f t="shared" si="13"/>
        <v>0</v>
      </c>
      <c r="H51" s="21">
        <f t="shared" si="13"/>
        <v>7771614</v>
      </c>
      <c r="I51" s="21">
        <f t="shared" si="13"/>
        <v>0</v>
      </c>
      <c r="J51" s="21">
        <f t="shared" si="13"/>
        <v>1619207.7900000215</v>
      </c>
      <c r="K51" s="22">
        <f t="shared" si="13"/>
        <v>-5847819.7999999523</v>
      </c>
      <c r="L51" s="22">
        <f t="shared" si="13"/>
        <v>14482347.400000095</v>
      </c>
      <c r="N51" s="115"/>
    </row>
    <row r="52" spans="2:14" x14ac:dyDescent="0.25">
      <c r="B52" s="97" t="s">
        <v>47</v>
      </c>
      <c r="C52" s="13"/>
      <c r="D52" s="13"/>
      <c r="E52" s="13"/>
      <c r="F52" s="13"/>
      <c r="G52" s="13"/>
      <c r="H52" s="13"/>
      <c r="I52" s="13"/>
      <c r="J52" s="13"/>
      <c r="K52" s="28">
        <f>C52+E52+G52+I52</f>
        <v>0</v>
      </c>
      <c r="L52" s="28">
        <f>D52+F52+H52+J52</f>
        <v>0</v>
      </c>
      <c r="N52" s="115"/>
    </row>
    <row r="53" spans="2:14" x14ac:dyDescent="0.25">
      <c r="B53" s="97" t="s">
        <v>48</v>
      </c>
      <c r="C53" s="13"/>
      <c r="D53" s="13"/>
      <c r="E53" s="13"/>
      <c r="F53" s="13"/>
      <c r="G53" s="13"/>
      <c r="H53" s="13"/>
      <c r="I53" s="13"/>
      <c r="J53" s="13"/>
      <c r="K53" s="28">
        <f>C53+E53+G53+I53</f>
        <v>0</v>
      </c>
      <c r="L53" s="28">
        <f>D53+F53+H53+J53</f>
        <v>0</v>
      </c>
      <c r="N53" s="115"/>
    </row>
    <row r="54" spans="2:14" x14ac:dyDescent="0.25">
      <c r="B54" s="95" t="s">
        <v>49</v>
      </c>
      <c r="C54" s="21">
        <f>+C51-C52-C53</f>
        <v>1600828.6600000262</v>
      </c>
      <c r="D54" s="21">
        <f t="shared" ref="D54:L54" si="14">+D51-D52-D53</f>
        <v>7151928</v>
      </c>
      <c r="E54" s="21">
        <f t="shared" si="14"/>
        <v>-7448648.4599999785</v>
      </c>
      <c r="F54" s="21">
        <f t="shared" si="14"/>
        <v>-2060402.3899999857</v>
      </c>
      <c r="G54" s="21">
        <f t="shared" si="14"/>
        <v>0</v>
      </c>
      <c r="H54" s="21">
        <f t="shared" si="14"/>
        <v>7771614</v>
      </c>
      <c r="I54" s="21">
        <f t="shared" si="14"/>
        <v>0</v>
      </c>
      <c r="J54" s="21">
        <f t="shared" si="14"/>
        <v>1619207.7900000215</v>
      </c>
      <c r="K54" s="22">
        <f t="shared" si="14"/>
        <v>-5847819.7999999523</v>
      </c>
      <c r="L54" s="22">
        <f t="shared" si="14"/>
        <v>14482347.400000095</v>
      </c>
      <c r="N54" s="115"/>
    </row>
    <row r="55" spans="2:14" x14ac:dyDescent="0.25">
      <c r="C55" s="73"/>
    </row>
    <row r="57" spans="2:14" ht="18.75" x14ac:dyDescent="0.25">
      <c r="B57" s="6" t="s">
        <v>50</v>
      </c>
    </row>
    <row r="58" spans="2:14" x14ac:dyDescent="0.25">
      <c r="B58" s="7" t="s">
        <v>51</v>
      </c>
      <c r="C58" s="9" t="str">
        <f>$B$6</f>
        <v>2022-23</v>
      </c>
      <c r="D58" s="9" t="str">
        <f>$B$7</f>
        <v>2021-22</v>
      </c>
      <c r="E58" s="9" t="str">
        <f>$B$6</f>
        <v>2022-23</v>
      </c>
      <c r="F58" s="9" t="str">
        <f>$B$7</f>
        <v>2021-22</v>
      </c>
      <c r="G58" s="9" t="str">
        <f>$B$6</f>
        <v>2022-23</v>
      </c>
      <c r="H58" s="9" t="str">
        <f>$B$7</f>
        <v>2021-22</v>
      </c>
      <c r="I58" s="9" t="str">
        <f>$B$6</f>
        <v>2022-23</v>
      </c>
      <c r="J58" s="9" t="str">
        <f>$B$7</f>
        <v>2021-22</v>
      </c>
    </row>
    <row r="59" spans="2:14" ht="30" x14ac:dyDescent="0.25">
      <c r="B59" s="7"/>
      <c r="C59" s="9" t="s">
        <v>52</v>
      </c>
      <c r="D59" s="9" t="s">
        <v>52</v>
      </c>
      <c r="E59" s="9" t="s">
        <v>53</v>
      </c>
      <c r="F59" s="9" t="s">
        <v>53</v>
      </c>
      <c r="G59" s="9" t="s">
        <v>54</v>
      </c>
      <c r="H59" s="9" t="s">
        <v>54</v>
      </c>
      <c r="I59" s="9" t="s">
        <v>55</v>
      </c>
      <c r="J59" s="9" t="s">
        <v>55</v>
      </c>
    </row>
    <row r="60" spans="2:14" x14ac:dyDescent="0.25">
      <c r="B60" s="16" t="s">
        <v>135</v>
      </c>
      <c r="C60" s="32">
        <v>324169152</v>
      </c>
      <c r="D60" s="32">
        <v>347992101</v>
      </c>
      <c r="E60" s="32">
        <v>317838317</v>
      </c>
      <c r="F60" s="32">
        <v>341846085</v>
      </c>
      <c r="G60" s="32"/>
      <c r="H60" s="32">
        <v>336799729</v>
      </c>
      <c r="I60" s="32"/>
      <c r="J60" s="32">
        <v>330568621</v>
      </c>
    </row>
    <row r="61" spans="2:14" x14ac:dyDescent="0.25">
      <c r="B61" s="16" t="s">
        <v>134</v>
      </c>
      <c r="C61" s="32"/>
      <c r="D61" s="32"/>
      <c r="E61" s="32"/>
      <c r="F61" s="32"/>
      <c r="G61" s="32"/>
      <c r="H61" s="32"/>
      <c r="I61" s="32"/>
      <c r="J61" s="32"/>
    </row>
    <row r="62" spans="2:14" x14ac:dyDescent="0.25">
      <c r="B62" s="89" t="s">
        <v>136</v>
      </c>
      <c r="C62" s="28">
        <f>+C63+C64-C65</f>
        <v>254528099.00999999</v>
      </c>
      <c r="D62" s="28">
        <f t="shared" ref="D62:J62" si="15">+D63+D64-D65</f>
        <v>278201269</v>
      </c>
      <c r="E62" s="28">
        <f t="shared" si="15"/>
        <v>249659575.61000001</v>
      </c>
      <c r="F62" s="28">
        <f t="shared" si="15"/>
        <v>275568885</v>
      </c>
      <c r="G62" s="28">
        <f t="shared" si="15"/>
        <v>0</v>
      </c>
      <c r="H62" s="28">
        <f t="shared" si="15"/>
        <v>254422484</v>
      </c>
      <c r="I62" s="28">
        <f t="shared" si="15"/>
        <v>0</v>
      </c>
      <c r="J62" s="28">
        <f t="shared" si="15"/>
        <v>260616171.00999999</v>
      </c>
    </row>
    <row r="63" spans="2:14" x14ac:dyDescent="0.25">
      <c r="B63" s="90" t="s">
        <v>139</v>
      </c>
      <c r="C63" s="32">
        <v>175437263</v>
      </c>
      <c r="D63" s="32">
        <v>175437263</v>
      </c>
      <c r="E63" s="32">
        <v>175437263</v>
      </c>
      <c r="F63" s="32">
        <v>175437263</v>
      </c>
      <c r="G63" s="32"/>
      <c r="H63" s="32">
        <v>175437263</v>
      </c>
      <c r="I63" s="32"/>
      <c r="J63" s="32">
        <v>175437263</v>
      </c>
    </row>
    <row r="64" spans="2:14" x14ac:dyDescent="0.25">
      <c r="B64" s="90" t="s">
        <v>140</v>
      </c>
      <c r="C64" s="32">
        <v>79090836.00999999</v>
      </c>
      <c r="D64" s="32">
        <v>102764006</v>
      </c>
      <c r="E64" s="32">
        <v>74222312.609999999</v>
      </c>
      <c r="F64" s="32">
        <v>100131622</v>
      </c>
      <c r="G64" s="32"/>
      <c r="H64" s="32">
        <v>78985221</v>
      </c>
      <c r="I64" s="32"/>
      <c r="J64" s="32">
        <v>85178908.00999999</v>
      </c>
    </row>
    <row r="65" spans="1:15" x14ac:dyDescent="0.25">
      <c r="B65" s="90" t="s">
        <v>141</v>
      </c>
      <c r="C65" s="32"/>
      <c r="D65" s="32"/>
      <c r="E65" s="32"/>
      <c r="F65" s="32"/>
      <c r="G65" s="32"/>
      <c r="H65" s="32"/>
      <c r="I65" s="32"/>
      <c r="J65" s="32"/>
    </row>
    <row r="66" spans="1:15" x14ac:dyDescent="0.25">
      <c r="B66" s="89" t="s">
        <v>137</v>
      </c>
      <c r="C66" s="32"/>
      <c r="D66" s="32"/>
      <c r="E66" s="32"/>
      <c r="F66" s="32"/>
      <c r="G66" s="32"/>
      <c r="H66" s="32"/>
      <c r="I66" s="32"/>
      <c r="J66" s="32"/>
      <c r="L66" s="117"/>
      <c r="M66" s="117"/>
      <c r="N66" s="117"/>
      <c r="O66" s="117"/>
    </row>
    <row r="67" spans="1:15" x14ac:dyDescent="0.25">
      <c r="B67" s="16" t="s">
        <v>138</v>
      </c>
      <c r="C67" s="32">
        <f>1021351808.97-5058036</f>
        <v>1016293772.97</v>
      </c>
      <c r="D67" s="32">
        <v>924868215</v>
      </c>
      <c r="E67" s="32">
        <v>1043263691.99</v>
      </c>
      <c r="F67" s="32">
        <v>956677492</v>
      </c>
      <c r="G67" s="32"/>
      <c r="H67" s="32">
        <v>1011882407.8499999</v>
      </c>
      <c r="I67" s="32"/>
      <c r="J67" s="32">
        <v>1022932768.72</v>
      </c>
    </row>
    <row r="68" spans="1:15" x14ac:dyDescent="0.25">
      <c r="A68" s="73"/>
      <c r="B68" s="30" t="s">
        <v>142</v>
      </c>
      <c r="C68" s="33">
        <f>+C60+C61+C62+C66+C67</f>
        <v>1594991023.98</v>
      </c>
      <c r="D68" s="33">
        <f t="shared" ref="D68:J68" si="16">+D60+D61+D62+D66+D67</f>
        <v>1551061585</v>
      </c>
      <c r="E68" s="33">
        <f t="shared" si="16"/>
        <v>1610761584.5999999</v>
      </c>
      <c r="F68" s="33">
        <f t="shared" si="16"/>
        <v>1574092462</v>
      </c>
      <c r="G68" s="33">
        <f t="shared" si="16"/>
        <v>0</v>
      </c>
      <c r="H68" s="33">
        <f t="shared" si="16"/>
        <v>1603104620.8499999</v>
      </c>
      <c r="I68" s="33">
        <f t="shared" si="16"/>
        <v>0</v>
      </c>
      <c r="J68" s="33">
        <f t="shared" si="16"/>
        <v>1614117560.73</v>
      </c>
    </row>
    <row r="69" spans="1:15" x14ac:dyDescent="0.25">
      <c r="B69" s="7" t="s">
        <v>56</v>
      </c>
      <c r="C69" s="34"/>
      <c r="D69" s="34"/>
      <c r="E69" s="34"/>
      <c r="F69" s="34"/>
      <c r="G69" s="34"/>
      <c r="H69" s="34"/>
      <c r="I69" s="34"/>
      <c r="J69" s="34"/>
    </row>
    <row r="70" spans="1:15" x14ac:dyDescent="0.25">
      <c r="B70" s="29" t="s">
        <v>143</v>
      </c>
      <c r="C70" s="32">
        <v>404060306</v>
      </c>
      <c r="D70" s="32">
        <v>404060306</v>
      </c>
      <c r="E70" s="32">
        <v>404060306</v>
      </c>
      <c r="F70" s="32">
        <v>404060306</v>
      </c>
      <c r="G70" s="32"/>
      <c r="H70" s="32">
        <v>404060306</v>
      </c>
      <c r="I70" s="32"/>
      <c r="J70" s="32">
        <v>404060306</v>
      </c>
    </row>
    <row r="71" spans="1:15" x14ac:dyDescent="0.25">
      <c r="A71" s="118"/>
      <c r="B71" s="89" t="s">
        <v>144</v>
      </c>
      <c r="C71" s="32">
        <f>418077607-5058036</f>
        <v>413019571</v>
      </c>
      <c r="D71" s="32">
        <v>410578526</v>
      </c>
      <c r="E71" s="124">
        <v>405042046.87</v>
      </c>
      <c r="F71" s="32">
        <v>408518123.61000001</v>
      </c>
      <c r="G71" s="32"/>
      <c r="H71" s="32">
        <v>416289737.09000003</v>
      </c>
      <c r="I71" s="32"/>
      <c r="J71" s="32">
        <v>412030717.85000002</v>
      </c>
      <c r="K71" s="118"/>
    </row>
    <row r="72" spans="1:15" x14ac:dyDescent="0.25">
      <c r="A72" s="119"/>
      <c r="B72" s="16" t="s">
        <v>145</v>
      </c>
      <c r="C72" s="32"/>
      <c r="D72" s="32"/>
      <c r="E72" s="32"/>
      <c r="F72" s="32"/>
      <c r="G72" s="32"/>
      <c r="H72" s="32"/>
      <c r="I72" s="32"/>
      <c r="J72" s="32"/>
      <c r="K72" s="73"/>
    </row>
    <row r="73" spans="1:15" x14ac:dyDescent="0.25">
      <c r="B73" s="16" t="s">
        <v>146</v>
      </c>
      <c r="C73" s="32"/>
      <c r="D73" s="32"/>
      <c r="E73" s="32"/>
      <c r="F73" s="32"/>
      <c r="G73" s="32"/>
      <c r="H73" s="32"/>
      <c r="I73" s="32"/>
      <c r="J73" s="32"/>
    </row>
    <row r="74" spans="1:15" ht="21" customHeight="1" x14ac:dyDescent="0.25">
      <c r="B74" s="89" t="s">
        <v>154</v>
      </c>
      <c r="C74" s="33">
        <f>+C75+C76+C77+C78</f>
        <v>0</v>
      </c>
      <c r="D74" s="33">
        <f t="shared" ref="D74:J74" si="17">+D75+D76+D77+D78</f>
        <v>0</v>
      </c>
      <c r="E74" s="33">
        <f t="shared" si="17"/>
        <v>0</v>
      </c>
      <c r="F74" s="33">
        <f t="shared" si="17"/>
        <v>0</v>
      </c>
      <c r="G74" s="33">
        <f t="shared" si="17"/>
        <v>0</v>
      </c>
      <c r="H74" s="33">
        <f t="shared" si="17"/>
        <v>0</v>
      </c>
      <c r="I74" s="33">
        <f t="shared" si="17"/>
        <v>0</v>
      </c>
      <c r="J74" s="33">
        <f t="shared" si="17"/>
        <v>0</v>
      </c>
    </row>
    <row r="75" spans="1:15" x14ac:dyDescent="0.25">
      <c r="B75" s="90" t="s">
        <v>147</v>
      </c>
      <c r="C75" s="13"/>
      <c r="D75" s="13"/>
      <c r="E75" s="13"/>
      <c r="F75" s="13"/>
      <c r="G75" s="13"/>
      <c r="H75" s="13"/>
      <c r="I75" s="13"/>
      <c r="J75" s="13"/>
    </row>
    <row r="76" spans="1:15" x14ac:dyDescent="0.25">
      <c r="B76" s="90" t="s">
        <v>148</v>
      </c>
      <c r="C76" s="13"/>
      <c r="D76" s="13"/>
      <c r="E76" s="13"/>
      <c r="F76" s="13"/>
      <c r="G76" s="13"/>
      <c r="H76" s="13"/>
      <c r="I76" s="13"/>
      <c r="J76" s="13"/>
    </row>
    <row r="77" spans="1:15" x14ac:dyDescent="0.25">
      <c r="B77" s="90" t="s">
        <v>149</v>
      </c>
      <c r="C77" s="13"/>
      <c r="D77" s="13"/>
      <c r="E77" s="13"/>
      <c r="F77" s="13"/>
      <c r="G77" s="13"/>
      <c r="H77" s="13"/>
      <c r="I77" s="13"/>
      <c r="J77" s="13"/>
    </row>
    <row r="78" spans="1:15" x14ac:dyDescent="0.25">
      <c r="B78" s="90" t="s">
        <v>150</v>
      </c>
      <c r="C78" s="13"/>
      <c r="D78" s="13"/>
      <c r="E78" s="13"/>
      <c r="F78" s="13"/>
      <c r="G78" s="13"/>
      <c r="H78" s="13"/>
      <c r="I78" s="13"/>
      <c r="J78" s="13"/>
    </row>
    <row r="79" spans="1:15" x14ac:dyDescent="0.25">
      <c r="B79" s="91" t="s">
        <v>155</v>
      </c>
      <c r="C79" s="33">
        <f>+C80+C81</f>
        <v>0</v>
      </c>
      <c r="D79" s="33">
        <f t="shared" ref="D79:J79" si="18">+D80+D81</f>
        <v>0</v>
      </c>
      <c r="E79" s="33">
        <f t="shared" si="18"/>
        <v>0</v>
      </c>
      <c r="F79" s="33">
        <f t="shared" si="18"/>
        <v>0</v>
      </c>
      <c r="G79" s="33">
        <f t="shared" si="18"/>
        <v>0</v>
      </c>
      <c r="H79" s="33">
        <f t="shared" si="18"/>
        <v>0</v>
      </c>
      <c r="I79" s="33">
        <f t="shared" si="18"/>
        <v>0</v>
      </c>
      <c r="J79" s="33">
        <f t="shared" si="18"/>
        <v>0</v>
      </c>
    </row>
    <row r="80" spans="1:15" x14ac:dyDescent="0.25">
      <c r="B80" s="90" t="s">
        <v>156</v>
      </c>
      <c r="C80" s="13"/>
      <c r="D80" s="13"/>
      <c r="E80" s="13"/>
      <c r="F80" s="13"/>
      <c r="G80" s="13"/>
      <c r="H80" s="13"/>
      <c r="I80" s="13"/>
      <c r="J80" s="13"/>
    </row>
    <row r="81" spans="2:12" x14ac:dyDescent="0.25">
      <c r="B81" s="90" t="s">
        <v>153</v>
      </c>
      <c r="C81" s="13"/>
      <c r="D81" s="13"/>
      <c r="E81" s="13"/>
      <c r="F81" s="13"/>
      <c r="G81" s="13"/>
      <c r="H81" s="13"/>
      <c r="I81" s="13"/>
      <c r="J81" s="13"/>
    </row>
    <row r="82" spans="2:12" x14ac:dyDescent="0.25">
      <c r="B82" s="92" t="s">
        <v>151</v>
      </c>
      <c r="C82" s="32">
        <v>89338297</v>
      </c>
      <c r="D82" s="32">
        <v>62757630</v>
      </c>
      <c r="E82" s="32">
        <v>93397520</v>
      </c>
      <c r="F82" s="32">
        <v>76401180</v>
      </c>
      <c r="G82" s="32"/>
      <c r="H82" s="32">
        <v>88496930</v>
      </c>
      <c r="I82" s="32"/>
      <c r="J82" s="32">
        <v>102371990</v>
      </c>
    </row>
    <row r="83" spans="2:12" x14ac:dyDescent="0.25">
      <c r="B83" s="16" t="s">
        <v>152</v>
      </c>
      <c r="C83" s="32">
        <v>688572849.98000002</v>
      </c>
      <c r="D83" s="32">
        <v>673665123</v>
      </c>
      <c r="E83" s="124">
        <v>708261711.73000002</v>
      </c>
      <c r="F83" s="32">
        <v>685112852.38999999</v>
      </c>
      <c r="G83" s="32"/>
      <c r="H83" s="32">
        <v>694257647.75999999</v>
      </c>
      <c r="I83" s="32"/>
      <c r="J83" s="32">
        <v>695654546.88000011</v>
      </c>
    </row>
    <row r="84" spans="2:12" x14ac:dyDescent="0.25">
      <c r="B84" s="35" t="s">
        <v>161</v>
      </c>
      <c r="C84" s="33">
        <f>+C70+C71+C72+C73+C74+C79+C82+C83</f>
        <v>1594991023.98</v>
      </c>
      <c r="D84" s="33">
        <f>+D70+D71+D72+D73+D74+D82+D83</f>
        <v>1551061585</v>
      </c>
      <c r="E84" s="33">
        <f t="shared" ref="E84:J84" si="19">+E70+E71+E72+E73+E74+E82+E83</f>
        <v>1610761584.5999999</v>
      </c>
      <c r="F84" s="33">
        <f t="shared" si="19"/>
        <v>1574092462</v>
      </c>
      <c r="G84" s="33">
        <f t="shared" si="19"/>
        <v>0</v>
      </c>
      <c r="H84" s="33">
        <f t="shared" si="19"/>
        <v>1603104620.8499999</v>
      </c>
      <c r="I84" s="33">
        <f t="shared" si="19"/>
        <v>0</v>
      </c>
      <c r="J84" s="33">
        <f t="shared" si="19"/>
        <v>1614117560.73</v>
      </c>
    </row>
    <row r="85" spans="2:12" x14ac:dyDescent="0.25">
      <c r="B85" s="74" t="s">
        <v>124</v>
      </c>
      <c r="C85" s="75">
        <f t="shared" ref="C85:J85" si="20">C84-C68</f>
        <v>0</v>
      </c>
      <c r="D85" s="75">
        <f t="shared" si="20"/>
        <v>0</v>
      </c>
      <c r="E85" s="75">
        <f t="shared" si="20"/>
        <v>0</v>
      </c>
      <c r="F85" s="75">
        <f t="shared" si="20"/>
        <v>0</v>
      </c>
      <c r="G85" s="75">
        <f t="shared" si="20"/>
        <v>0</v>
      </c>
      <c r="H85" s="75">
        <f t="shared" si="20"/>
        <v>0</v>
      </c>
      <c r="I85" s="75">
        <f t="shared" si="20"/>
        <v>0</v>
      </c>
      <c r="J85" s="75">
        <f t="shared" si="20"/>
        <v>0</v>
      </c>
    </row>
    <row r="86" spans="2:12" x14ac:dyDescent="0.25">
      <c r="E86" s="139"/>
    </row>
    <row r="87" spans="2:12" x14ac:dyDescent="0.25">
      <c r="B87" s="7" t="s">
        <v>57</v>
      </c>
      <c r="C87" s="130" t="s">
        <v>10</v>
      </c>
      <c r="D87" s="131"/>
      <c r="E87" s="130" t="s">
        <v>11</v>
      </c>
      <c r="F87" s="131"/>
      <c r="G87" s="130" t="s">
        <v>12</v>
      </c>
      <c r="H87" s="131"/>
      <c r="I87" s="130" t="s">
        <v>13</v>
      </c>
      <c r="J87" s="131"/>
      <c r="K87" s="132" t="s">
        <v>14</v>
      </c>
      <c r="L87" s="133"/>
    </row>
    <row r="88" spans="2:12" x14ac:dyDescent="0.25">
      <c r="B88" s="7"/>
      <c r="C88" s="9" t="str">
        <f>$B$6</f>
        <v>2022-23</v>
      </c>
      <c r="D88" s="9" t="str">
        <f>$B$7</f>
        <v>2021-22</v>
      </c>
      <c r="E88" s="9" t="str">
        <f>$B$6</f>
        <v>2022-23</v>
      </c>
      <c r="F88" s="9" t="str">
        <f>$B$7</f>
        <v>2021-22</v>
      </c>
      <c r="G88" s="9" t="str">
        <f>$B$6</f>
        <v>2022-23</v>
      </c>
      <c r="H88" s="9" t="str">
        <f>$B$7</f>
        <v>2021-22</v>
      </c>
      <c r="I88" s="9" t="str">
        <f>$B$6</f>
        <v>2022-23</v>
      </c>
      <c r="J88" s="9" t="str">
        <f>$B$7</f>
        <v>2021-22</v>
      </c>
      <c r="K88" s="9" t="str">
        <f>$B$6</f>
        <v>2022-23</v>
      </c>
      <c r="L88" s="9" t="str">
        <f>$B$7</f>
        <v>2021-22</v>
      </c>
    </row>
    <row r="89" spans="2:12" x14ac:dyDescent="0.25">
      <c r="B89" s="93" t="s">
        <v>157</v>
      </c>
      <c r="C89" s="36">
        <f>+C90+C91+C92+C93</f>
        <v>0</v>
      </c>
      <c r="D89" s="36">
        <f t="shared" ref="D89:J89" si="21">+D90+D91+D92+D93</f>
        <v>0</v>
      </c>
      <c r="E89" s="36">
        <f t="shared" si="21"/>
        <v>0</v>
      </c>
      <c r="F89" s="36">
        <f t="shared" si="21"/>
        <v>0</v>
      </c>
      <c r="G89" s="36">
        <f t="shared" si="21"/>
        <v>0</v>
      </c>
      <c r="H89" s="36">
        <f t="shared" si="21"/>
        <v>0</v>
      </c>
      <c r="I89" s="36">
        <f t="shared" si="21"/>
        <v>0</v>
      </c>
      <c r="J89" s="36">
        <f t="shared" si="21"/>
        <v>0</v>
      </c>
      <c r="K89"/>
      <c r="L89"/>
    </row>
    <row r="90" spans="2:12" x14ac:dyDescent="0.25">
      <c r="B90" s="97" t="s">
        <v>58</v>
      </c>
      <c r="C90" s="37"/>
      <c r="D90" s="37"/>
      <c r="E90" s="37"/>
      <c r="F90" s="37"/>
      <c r="G90" s="37"/>
      <c r="H90" s="37"/>
      <c r="I90" s="37"/>
      <c r="J90" s="37"/>
      <c r="K90"/>
      <c r="L90"/>
    </row>
    <row r="91" spans="2:12" x14ac:dyDescent="0.25">
      <c r="B91" s="97" t="s">
        <v>59</v>
      </c>
      <c r="C91" s="37"/>
      <c r="D91" s="37"/>
      <c r="E91" s="37"/>
      <c r="F91" s="37"/>
      <c r="G91" s="37"/>
      <c r="H91" s="37"/>
      <c r="I91" s="37"/>
      <c r="J91" s="37"/>
      <c r="K91"/>
      <c r="L91"/>
    </row>
    <row r="92" spans="2:12" x14ac:dyDescent="0.25">
      <c r="B92" s="97" t="s">
        <v>60</v>
      </c>
      <c r="C92" s="37"/>
      <c r="D92" s="37"/>
      <c r="E92" s="37"/>
      <c r="F92" s="37"/>
      <c r="G92" s="37"/>
      <c r="H92" s="37"/>
      <c r="I92" s="37"/>
      <c r="J92" s="37"/>
      <c r="K92"/>
      <c r="L92"/>
    </row>
    <row r="93" spans="2:12" x14ac:dyDescent="0.25">
      <c r="B93" s="97" t="s">
        <v>61</v>
      </c>
      <c r="C93" s="37"/>
      <c r="D93" s="37"/>
      <c r="E93" s="37"/>
      <c r="F93" s="37"/>
      <c r="G93" s="37"/>
      <c r="H93" s="37"/>
      <c r="I93" s="37"/>
      <c r="J93" s="37"/>
      <c r="K93"/>
      <c r="L93"/>
    </row>
    <row r="94" spans="2:12" x14ac:dyDescent="0.25">
      <c r="B94" s="93" t="s">
        <v>158</v>
      </c>
      <c r="C94" s="36">
        <f>+C95+C96+C97+C98</f>
        <v>1409339</v>
      </c>
      <c r="D94" s="36">
        <f t="shared" ref="D94:L94" si="22">+D95+D96+D97+D98</f>
        <v>1392965</v>
      </c>
      <c r="E94" s="36">
        <f t="shared" si="22"/>
        <v>1186062</v>
      </c>
      <c r="F94" s="36">
        <f t="shared" si="22"/>
        <v>1391663</v>
      </c>
      <c r="G94" s="36">
        <f t="shared" si="22"/>
        <v>0</v>
      </c>
      <c r="H94" s="36">
        <f t="shared" si="22"/>
        <v>1170498</v>
      </c>
      <c r="I94" s="36">
        <f t="shared" si="22"/>
        <v>0</v>
      </c>
      <c r="J94" s="36">
        <f t="shared" si="22"/>
        <v>1800035</v>
      </c>
      <c r="K94" s="36">
        <f t="shared" si="22"/>
        <v>2595401</v>
      </c>
      <c r="L94" s="36">
        <f t="shared" si="22"/>
        <v>5755161</v>
      </c>
    </row>
    <row r="95" spans="2:12" x14ac:dyDescent="0.25">
      <c r="B95" s="97" t="s">
        <v>62</v>
      </c>
      <c r="C95" s="37"/>
      <c r="D95" s="37"/>
      <c r="E95" s="37"/>
      <c r="F95" s="37"/>
      <c r="G95" s="37"/>
      <c r="H95" s="37"/>
      <c r="I95" s="37"/>
      <c r="J95" s="37"/>
      <c r="K95" s="36">
        <f t="shared" ref="K95:L99" si="23">C95+E95+G95+I95</f>
        <v>0</v>
      </c>
      <c r="L95" s="36">
        <f t="shared" si="23"/>
        <v>0</v>
      </c>
    </row>
    <row r="96" spans="2:12" x14ac:dyDescent="0.25">
      <c r="B96" s="97" t="s">
        <v>63</v>
      </c>
      <c r="C96" s="37"/>
      <c r="D96" s="37"/>
      <c r="E96" s="37"/>
      <c r="F96" s="37"/>
      <c r="G96" s="37"/>
      <c r="H96" s="37"/>
      <c r="I96" s="37"/>
      <c r="J96" s="37"/>
      <c r="K96" s="36">
        <f t="shared" si="23"/>
        <v>0</v>
      </c>
      <c r="L96" s="36">
        <f t="shared" si="23"/>
        <v>0</v>
      </c>
    </row>
    <row r="97" spans="2:13" x14ac:dyDescent="0.25">
      <c r="B97" s="97" t="s">
        <v>64</v>
      </c>
      <c r="C97" s="37"/>
      <c r="D97" s="37"/>
      <c r="E97" s="37"/>
      <c r="F97" s="37"/>
      <c r="G97" s="37"/>
      <c r="H97" s="37"/>
      <c r="I97" s="37"/>
      <c r="J97" s="37"/>
      <c r="K97" s="36">
        <f t="shared" si="23"/>
        <v>0</v>
      </c>
      <c r="L97" s="36">
        <f t="shared" si="23"/>
        <v>0</v>
      </c>
    </row>
    <row r="98" spans="2:13" x14ac:dyDescent="0.25">
      <c r="B98" s="97" t="s">
        <v>65</v>
      </c>
      <c r="C98" s="122">
        <f>107337+1212002+90000</f>
        <v>1409339</v>
      </c>
      <c r="D98" s="122">
        <f>113198+1189767+90000</f>
        <v>1392965</v>
      </c>
      <c r="E98" s="37">
        <f>105966+990096+90000</f>
        <v>1186062</v>
      </c>
      <c r="F98" s="37">
        <f>116928+1184735+90000</f>
        <v>1391663</v>
      </c>
      <c r="G98" s="37"/>
      <c r="H98" s="37">
        <f>96790+983708+90000</f>
        <v>1170498</v>
      </c>
      <c r="I98" s="37"/>
      <c r="J98" s="37">
        <f>118082+1591953+90000</f>
        <v>1800035</v>
      </c>
      <c r="K98" s="36">
        <f t="shared" si="23"/>
        <v>2595401</v>
      </c>
      <c r="L98" s="36">
        <f t="shared" si="23"/>
        <v>5755161</v>
      </c>
    </row>
    <row r="99" spans="2:13" x14ac:dyDescent="0.25">
      <c r="B99" s="93" t="s">
        <v>66</v>
      </c>
      <c r="C99" s="38"/>
      <c r="D99" s="38"/>
      <c r="E99" s="38"/>
      <c r="F99" s="38"/>
      <c r="G99" s="38"/>
      <c r="H99" s="38"/>
      <c r="I99" s="38"/>
      <c r="J99" s="38"/>
      <c r="K99" s="36">
        <f t="shared" si="23"/>
        <v>0</v>
      </c>
      <c r="L99" s="36">
        <f t="shared" si="23"/>
        <v>0</v>
      </c>
    </row>
    <row r="100" spans="2:13" x14ac:dyDescent="0.25">
      <c r="B100" s="94" t="s">
        <v>67</v>
      </c>
      <c r="C100" s="36">
        <v>40642000</v>
      </c>
      <c r="D100" s="36">
        <v>30505600</v>
      </c>
      <c r="E100" s="36">
        <v>36994000</v>
      </c>
      <c r="F100" s="36">
        <v>31701000</v>
      </c>
      <c r="G100" s="36">
        <f t="shared" ref="G100:K100" si="24">G193</f>
        <v>0</v>
      </c>
      <c r="H100" s="36">
        <v>36186400</v>
      </c>
      <c r="I100" s="36">
        <f t="shared" si="24"/>
        <v>0</v>
      </c>
      <c r="J100" s="36">
        <v>39194200</v>
      </c>
      <c r="K100" s="36">
        <f t="shared" si="24"/>
        <v>0</v>
      </c>
      <c r="L100" s="36">
        <v>137587200</v>
      </c>
    </row>
    <row r="101" spans="2:13" x14ac:dyDescent="0.25">
      <c r="B101" s="95" t="s">
        <v>68</v>
      </c>
      <c r="C101" s="33">
        <f>+C94-C99+C100</f>
        <v>42051339</v>
      </c>
      <c r="D101" s="33">
        <f>+D94-D99+D100</f>
        <v>31898565</v>
      </c>
      <c r="E101" s="33">
        <f t="shared" ref="E101:L101" si="25">+E94-E99+E100</f>
        <v>38180062</v>
      </c>
      <c r="F101" s="33">
        <f t="shared" si="25"/>
        <v>33092663</v>
      </c>
      <c r="G101" s="33">
        <f t="shared" si="25"/>
        <v>0</v>
      </c>
      <c r="H101" s="33">
        <f t="shared" si="25"/>
        <v>37356898</v>
      </c>
      <c r="I101" s="33">
        <f t="shared" si="25"/>
        <v>0</v>
      </c>
      <c r="J101" s="33">
        <f t="shared" si="25"/>
        <v>40994235</v>
      </c>
      <c r="K101" s="36">
        <v>40642000</v>
      </c>
      <c r="L101" s="36">
        <f t="shared" si="25"/>
        <v>143342361</v>
      </c>
    </row>
    <row r="102" spans="2:13" x14ac:dyDescent="0.25">
      <c r="B102" s="93" t="s">
        <v>69</v>
      </c>
      <c r="C102" s="38"/>
      <c r="D102" s="38"/>
      <c r="E102" s="38"/>
      <c r="F102" s="38"/>
      <c r="G102" s="38"/>
      <c r="H102" s="38"/>
      <c r="I102" s="38"/>
      <c r="J102" s="38"/>
      <c r="K102" s="36">
        <f>C102+E102+G102+I102</f>
        <v>0</v>
      </c>
      <c r="L102" s="36">
        <f>D102+F102+H102+J102</f>
        <v>0</v>
      </c>
    </row>
    <row r="103" spans="2:13" x14ac:dyDescent="0.25">
      <c r="B103" s="104" t="s">
        <v>70</v>
      </c>
      <c r="C103" s="33">
        <f>+C104+C105+C106</f>
        <v>40058456</v>
      </c>
      <c r="D103" s="33">
        <f>+D104+D105+D106</f>
        <v>31580102</v>
      </c>
      <c r="E103" s="33">
        <f t="shared" ref="E103:L103" si="26">+E104+E105+E106</f>
        <v>35990114</v>
      </c>
      <c r="F103" s="33">
        <f t="shared" si="26"/>
        <v>30164139</v>
      </c>
      <c r="G103" s="33">
        <f t="shared" si="26"/>
        <v>0</v>
      </c>
      <c r="H103" s="33">
        <f t="shared" si="26"/>
        <v>34722398</v>
      </c>
      <c r="I103" s="33">
        <f t="shared" si="26"/>
        <v>0</v>
      </c>
      <c r="J103" s="33">
        <f t="shared" si="26"/>
        <v>37233232</v>
      </c>
      <c r="K103" s="33">
        <f t="shared" si="26"/>
        <v>76048570</v>
      </c>
      <c r="L103" s="33">
        <f t="shared" si="26"/>
        <v>133699871</v>
      </c>
    </row>
    <row r="104" spans="2:13" x14ac:dyDescent="0.25">
      <c r="B104" s="97" t="s">
        <v>71</v>
      </c>
      <c r="C104" s="36">
        <f>C147-C145-C146</f>
        <v>40058456</v>
      </c>
      <c r="D104" s="36">
        <f t="shared" ref="D104:L104" si="27">D147-D145-D146</f>
        <v>31580102</v>
      </c>
      <c r="E104" s="36">
        <f t="shared" si="27"/>
        <v>35990114</v>
      </c>
      <c r="F104" s="36">
        <f t="shared" si="27"/>
        <v>30164139</v>
      </c>
      <c r="G104" s="36">
        <f t="shared" si="27"/>
        <v>0</v>
      </c>
      <c r="H104" s="36">
        <f t="shared" si="27"/>
        <v>34722398</v>
      </c>
      <c r="I104" s="36">
        <f t="shared" si="27"/>
        <v>0</v>
      </c>
      <c r="J104" s="36">
        <f t="shared" si="27"/>
        <v>37233232</v>
      </c>
      <c r="K104" s="36">
        <f t="shared" si="27"/>
        <v>76048570</v>
      </c>
      <c r="L104" s="36">
        <f t="shared" si="27"/>
        <v>133699871</v>
      </c>
    </row>
    <row r="105" spans="2:13" x14ac:dyDescent="0.25">
      <c r="B105" s="97" t="s">
        <v>72</v>
      </c>
      <c r="C105" s="36">
        <f>C145</f>
        <v>0</v>
      </c>
      <c r="D105" s="36">
        <f t="shared" ref="D105:L106" si="28">D145</f>
        <v>0</v>
      </c>
      <c r="E105" s="36">
        <f t="shared" si="28"/>
        <v>0</v>
      </c>
      <c r="F105" s="36">
        <f t="shared" si="28"/>
        <v>0</v>
      </c>
      <c r="G105" s="36">
        <f t="shared" si="28"/>
        <v>0</v>
      </c>
      <c r="H105" s="36">
        <f t="shared" si="28"/>
        <v>0</v>
      </c>
      <c r="I105" s="36">
        <f t="shared" si="28"/>
        <v>0</v>
      </c>
      <c r="J105" s="36">
        <f t="shared" si="28"/>
        <v>0</v>
      </c>
      <c r="K105" s="36">
        <f t="shared" si="28"/>
        <v>0</v>
      </c>
      <c r="L105" s="36">
        <f t="shared" si="28"/>
        <v>0</v>
      </c>
    </row>
    <row r="106" spans="2:13" x14ac:dyDescent="0.25">
      <c r="B106" s="97" t="s">
        <v>125</v>
      </c>
      <c r="C106" s="36">
        <f>C146</f>
        <v>0</v>
      </c>
      <c r="D106" s="36">
        <f t="shared" si="28"/>
        <v>0</v>
      </c>
      <c r="E106" s="36">
        <f t="shared" si="28"/>
        <v>0</v>
      </c>
      <c r="F106" s="36">
        <f t="shared" si="28"/>
        <v>0</v>
      </c>
      <c r="G106" s="36">
        <f t="shared" si="28"/>
        <v>0</v>
      </c>
      <c r="H106" s="36">
        <f t="shared" si="28"/>
        <v>0</v>
      </c>
      <c r="I106" s="36">
        <f t="shared" si="28"/>
        <v>0</v>
      </c>
      <c r="J106" s="36">
        <f t="shared" si="28"/>
        <v>0</v>
      </c>
      <c r="K106" s="36">
        <f t="shared" si="28"/>
        <v>0</v>
      </c>
      <c r="L106" s="36">
        <f t="shared" si="28"/>
        <v>0</v>
      </c>
    </row>
    <row r="107" spans="2:13" x14ac:dyDescent="0.25">
      <c r="B107" s="95" t="s">
        <v>126</v>
      </c>
      <c r="C107" s="33">
        <f t="shared" ref="C107:L107" si="29">+C101-C102-C106</f>
        <v>42051339</v>
      </c>
      <c r="D107" s="33">
        <f t="shared" si="29"/>
        <v>31898565</v>
      </c>
      <c r="E107" s="33">
        <f t="shared" si="29"/>
        <v>38180062</v>
      </c>
      <c r="F107" s="33">
        <f t="shared" si="29"/>
        <v>33092663</v>
      </c>
      <c r="G107" s="33">
        <f t="shared" si="29"/>
        <v>0</v>
      </c>
      <c r="H107" s="33">
        <f t="shared" si="29"/>
        <v>37356898</v>
      </c>
      <c r="I107" s="33">
        <f t="shared" si="29"/>
        <v>0</v>
      </c>
      <c r="J107" s="33">
        <f t="shared" si="29"/>
        <v>40994235</v>
      </c>
      <c r="K107" s="33">
        <f t="shared" si="29"/>
        <v>40642000</v>
      </c>
      <c r="L107" s="33">
        <f t="shared" si="29"/>
        <v>143342361</v>
      </c>
    </row>
    <row r="108" spans="2:13" x14ac:dyDescent="0.25">
      <c r="B108" s="95" t="s">
        <v>127</v>
      </c>
      <c r="C108" s="33">
        <f>+C103-C106</f>
        <v>40058456</v>
      </c>
      <c r="D108" s="33">
        <f t="shared" ref="D108:L108" si="30">+D103-D106</f>
        <v>31580102</v>
      </c>
      <c r="E108" s="33">
        <f t="shared" si="30"/>
        <v>35990114</v>
      </c>
      <c r="F108" s="33">
        <f t="shared" si="30"/>
        <v>30164139</v>
      </c>
      <c r="G108" s="33">
        <f t="shared" si="30"/>
        <v>0</v>
      </c>
      <c r="H108" s="33">
        <f t="shared" si="30"/>
        <v>34722398</v>
      </c>
      <c r="I108" s="33">
        <f t="shared" si="30"/>
        <v>0</v>
      </c>
      <c r="J108" s="33">
        <f t="shared" si="30"/>
        <v>37233232</v>
      </c>
      <c r="K108" s="33">
        <f t="shared" si="30"/>
        <v>76048570</v>
      </c>
      <c r="L108" s="33">
        <f t="shared" si="30"/>
        <v>133699871</v>
      </c>
      <c r="M108" s="76"/>
    </row>
    <row r="109" spans="2:13" x14ac:dyDescent="0.25">
      <c r="B109" s="95" t="s">
        <v>73</v>
      </c>
      <c r="C109" s="33">
        <f t="shared" ref="C109:L109" si="31">+C15+C16+C17+C22</f>
        <v>331038939</v>
      </c>
      <c r="D109" s="33">
        <f t="shared" si="31"/>
        <v>260055016</v>
      </c>
      <c r="E109" s="33">
        <f t="shared" si="31"/>
        <v>312968751</v>
      </c>
      <c r="F109" s="33">
        <f t="shared" si="31"/>
        <v>248071214</v>
      </c>
      <c r="G109" s="33">
        <f t="shared" si="31"/>
        <v>0</v>
      </c>
      <c r="H109" s="33">
        <f t="shared" si="31"/>
        <v>288141147</v>
      </c>
      <c r="I109" s="33">
        <f t="shared" si="31"/>
        <v>0</v>
      </c>
      <c r="J109" s="33">
        <f t="shared" si="31"/>
        <v>305968589</v>
      </c>
      <c r="K109" s="33">
        <f t="shared" si="31"/>
        <v>644007690</v>
      </c>
      <c r="L109" s="33">
        <f t="shared" si="31"/>
        <v>1102235966</v>
      </c>
    </row>
    <row r="110" spans="2:13" x14ac:dyDescent="0.25">
      <c r="B110" s="93" t="s">
        <v>74</v>
      </c>
      <c r="C110" s="39">
        <v>230789384</v>
      </c>
      <c r="D110" s="39">
        <v>208837137</v>
      </c>
      <c r="E110" s="39">
        <v>241564936</v>
      </c>
      <c r="F110" s="39">
        <v>244171603</v>
      </c>
      <c r="G110" s="39"/>
      <c r="H110" s="39">
        <v>242552656</v>
      </c>
      <c r="I110" s="39"/>
      <c r="J110" s="39">
        <v>225641929</v>
      </c>
      <c r="K110" s="33">
        <f>SUM(C110,E110,G110,I110)</f>
        <v>472354320</v>
      </c>
      <c r="L110" s="33">
        <f>SUM(D110,F110,H110,J110)</f>
        <v>921203325</v>
      </c>
    </row>
    <row r="111" spans="2:13" x14ac:dyDescent="0.25">
      <c r="B111" s="93" t="s">
        <v>75</v>
      </c>
      <c r="C111" s="39">
        <v>241564936</v>
      </c>
      <c r="D111" s="123">
        <f>74563892+208837137-35054426-4175000</f>
        <v>244171603</v>
      </c>
      <c r="E111" s="39">
        <v>242034189</v>
      </c>
      <c r="F111" s="123">
        <f>242552656</f>
        <v>242552656</v>
      </c>
      <c r="G111" s="39"/>
      <c r="H111" s="39">
        <v>225641929</v>
      </c>
      <c r="I111" s="39"/>
      <c r="J111" s="39">
        <v>230789384</v>
      </c>
      <c r="K111" s="33">
        <f>SUM(C111,E111,G111,I111)</f>
        <v>483599125</v>
      </c>
      <c r="L111" s="33">
        <f>SUM(D111,F111,H111,J111)</f>
        <v>943155572</v>
      </c>
    </row>
    <row r="112" spans="2:13" x14ac:dyDescent="0.25">
      <c r="B112" s="95" t="s">
        <v>76</v>
      </c>
      <c r="C112" s="33">
        <f t="shared" ref="C112:L112" si="32">+C15+C16+C17+C30+C110-C111</f>
        <v>320263387</v>
      </c>
      <c r="D112" s="33">
        <f t="shared" si="32"/>
        <v>224720550</v>
      </c>
      <c r="E112" s="33">
        <f t="shared" si="32"/>
        <v>312499498</v>
      </c>
      <c r="F112" s="33">
        <f t="shared" si="32"/>
        <v>249690161</v>
      </c>
      <c r="G112" s="33">
        <f t="shared" si="32"/>
        <v>0</v>
      </c>
      <c r="H112" s="33">
        <f t="shared" si="32"/>
        <v>305051874</v>
      </c>
      <c r="I112" s="33">
        <f t="shared" si="32"/>
        <v>0</v>
      </c>
      <c r="J112" s="33">
        <f t="shared" si="32"/>
        <v>300821134</v>
      </c>
      <c r="K112" s="33">
        <f t="shared" si="32"/>
        <v>632762885</v>
      </c>
      <c r="L112" s="33">
        <f t="shared" si="32"/>
        <v>1080283719</v>
      </c>
      <c r="M112" s="76"/>
    </row>
    <row r="113" spans="2:14" x14ac:dyDescent="0.25">
      <c r="B113" s="95" t="s">
        <v>77</v>
      </c>
      <c r="C113" s="40">
        <f>+C108/C107*100</f>
        <v>95.260833430298135</v>
      </c>
      <c r="D113" s="40">
        <f t="shared" ref="D113:L113" si="33">+D108/D107*100</f>
        <v>99.001638474959606</v>
      </c>
      <c r="E113" s="40">
        <f t="shared" si="33"/>
        <v>94.264158083347269</v>
      </c>
      <c r="F113" s="40">
        <f t="shared" si="33"/>
        <v>91.150533881180849</v>
      </c>
      <c r="G113" s="40" t="e">
        <f t="shared" si="33"/>
        <v>#DIV/0!</v>
      </c>
      <c r="H113" s="40">
        <f t="shared" si="33"/>
        <v>92.947754923334372</v>
      </c>
      <c r="I113" s="40" t="e">
        <f t="shared" si="33"/>
        <v>#DIV/0!</v>
      </c>
      <c r="J113" s="40">
        <f t="shared" si="33"/>
        <v>90.825531931502084</v>
      </c>
      <c r="K113" s="40">
        <f t="shared" si="33"/>
        <v>187.11817823925986</v>
      </c>
      <c r="L113" s="40">
        <f t="shared" si="33"/>
        <v>93.2731050802212</v>
      </c>
    </row>
    <row r="114" spans="2:14" x14ac:dyDescent="0.25">
      <c r="B114" s="95" t="s">
        <v>78</v>
      </c>
      <c r="C114" s="40">
        <f>+C112/C109*100</f>
        <v>96.744929151672991</v>
      </c>
      <c r="D114" s="40">
        <f t="shared" ref="D114:L114" si="34">+D112/D109*100</f>
        <v>86.412695842790427</v>
      </c>
      <c r="E114" s="40">
        <f t="shared" si="34"/>
        <v>99.850063944562947</v>
      </c>
      <c r="F114" s="40">
        <f t="shared" si="34"/>
        <v>100.65261380951679</v>
      </c>
      <c r="G114" s="40" t="e">
        <f t="shared" si="34"/>
        <v>#DIV/0!</v>
      </c>
      <c r="H114" s="40">
        <f t="shared" si="34"/>
        <v>105.86890389521493</v>
      </c>
      <c r="I114" s="40" t="e">
        <f t="shared" si="34"/>
        <v>#DIV/0!</v>
      </c>
      <c r="J114" s="40">
        <f t="shared" si="34"/>
        <v>98.317652469874943</v>
      </c>
      <c r="K114" s="40">
        <f t="shared" si="34"/>
        <v>98.253933116854554</v>
      </c>
      <c r="L114" s="40">
        <f t="shared" si="34"/>
        <v>98.008389521196221</v>
      </c>
    </row>
    <row r="115" spans="2:14" x14ac:dyDescent="0.25">
      <c r="B115" s="95" t="s">
        <v>128</v>
      </c>
      <c r="C115" s="33">
        <f>C114*C108/100</f>
        <v>38754524.8764541</v>
      </c>
      <c r="D115" s="33">
        <f t="shared" ref="D115:J115" si="35">D114*D108/100</f>
        <v>27289217.488102976</v>
      </c>
      <c r="E115" s="33">
        <f t="shared" si="35"/>
        <v>35936151.842721097</v>
      </c>
      <c r="F115" s="33">
        <f t="shared" si="35"/>
        <v>30360994.336635843</v>
      </c>
      <c r="G115" s="33" t="e">
        <f t="shared" si="35"/>
        <v>#DIV/0!</v>
      </c>
      <c r="H115" s="33">
        <f t="shared" si="35"/>
        <v>36760222.168734029</v>
      </c>
      <c r="I115" s="33" t="e">
        <f t="shared" si="35"/>
        <v>#DIV/0!</v>
      </c>
      <c r="J115" s="33">
        <f t="shared" si="35"/>
        <v>36606839.641062267</v>
      </c>
      <c r="K115" s="33" t="e">
        <f>SUM(C115,E115,G115,I115)</f>
        <v>#DIV/0!</v>
      </c>
      <c r="L115" s="33">
        <f>SUM(D115,F115,H115,J115)</f>
        <v>131017273.6345351</v>
      </c>
    </row>
    <row r="116" spans="2:14" x14ac:dyDescent="0.25">
      <c r="B116" s="95" t="s">
        <v>79</v>
      </c>
      <c r="C116" s="40">
        <f>100-C113*C114/100</f>
        <v>7.8399741885648524</v>
      </c>
      <c r="D116" s="40">
        <f t="shared" ref="D116:J116" si="36">100-D113*D114/100</f>
        <v>14.450015265254166</v>
      </c>
      <c r="E116" s="40">
        <f t="shared" si="36"/>
        <v>5.8771778769738603</v>
      </c>
      <c r="F116" s="40">
        <f t="shared" si="36"/>
        <v>8.2546051472622821</v>
      </c>
      <c r="G116" s="40" t="e">
        <f t="shared" si="36"/>
        <v>#DIV/0!</v>
      </c>
      <c r="H116" s="40">
        <f t="shared" si="36"/>
        <v>1.5972306674552215</v>
      </c>
      <c r="I116" s="40" t="e">
        <f t="shared" si="36"/>
        <v>#DIV/0!</v>
      </c>
      <c r="J116" s="40">
        <f t="shared" si="36"/>
        <v>10.702469161670493</v>
      </c>
      <c r="K116" s="77" t="e">
        <f>(K107-K115)/K107*100</f>
        <v>#DIV/0!</v>
      </c>
      <c r="L116" s="77">
        <f>(L107-L115)/L107*100</f>
        <v>8.5983566054593563</v>
      </c>
    </row>
    <row r="117" spans="2:14" x14ac:dyDescent="0.25">
      <c r="B117" s="81"/>
      <c r="C117" s="82"/>
      <c r="D117" s="82"/>
      <c r="E117" s="82"/>
      <c r="F117" s="82"/>
      <c r="G117" s="82"/>
      <c r="H117" s="82"/>
      <c r="I117" s="82"/>
      <c r="J117" s="82"/>
      <c r="K117" s="83"/>
      <c r="L117" s="83"/>
    </row>
    <row r="119" spans="2:14" hidden="1" x14ac:dyDescent="0.25"/>
    <row r="120" spans="2:14" x14ac:dyDescent="0.25">
      <c r="B120" s="7" t="s">
        <v>80</v>
      </c>
      <c r="C120" s="130" t="s">
        <v>10</v>
      </c>
      <c r="D120" s="131"/>
      <c r="E120" s="130" t="s">
        <v>11</v>
      </c>
      <c r="F120" s="131"/>
      <c r="G120" s="130" t="s">
        <v>12</v>
      </c>
      <c r="H120" s="131"/>
      <c r="I120" s="130" t="s">
        <v>13</v>
      </c>
      <c r="J120" s="131"/>
      <c r="K120" s="132" t="s">
        <v>14</v>
      </c>
      <c r="L120" s="133"/>
    </row>
    <row r="121" spans="2:14" x14ac:dyDescent="0.25">
      <c r="B121" s="7"/>
      <c r="C121" s="9" t="str">
        <f>$B$6</f>
        <v>2022-23</v>
      </c>
      <c r="D121" s="9" t="str">
        <f>$B$7</f>
        <v>2021-22</v>
      </c>
      <c r="E121" s="9" t="str">
        <f>$B$6</f>
        <v>2022-23</v>
      </c>
      <c r="F121" s="9" t="str">
        <f>$B$7</f>
        <v>2021-22</v>
      </c>
      <c r="G121" s="9" t="str">
        <f>$B$6</f>
        <v>2022-23</v>
      </c>
      <c r="H121" s="9" t="str">
        <f>$B$7</f>
        <v>2021-22</v>
      </c>
      <c r="I121" s="9" t="str">
        <f>$B$6</f>
        <v>2022-23</v>
      </c>
      <c r="J121" s="9" t="str">
        <f>$B$7</f>
        <v>2021-22</v>
      </c>
      <c r="K121" s="9" t="str">
        <f>$B$6</f>
        <v>2022-23</v>
      </c>
      <c r="L121" s="9" t="str">
        <f>$B$7</f>
        <v>2021-22</v>
      </c>
    </row>
    <row r="122" spans="2:14" x14ac:dyDescent="0.25">
      <c r="B122" s="30" t="s">
        <v>193</v>
      </c>
      <c r="C122" s="40">
        <f>+C49*1/C101</f>
        <v>7.9592312744191096</v>
      </c>
      <c r="D122" s="40">
        <f t="shared" ref="D122:L122" si="37">+D49*1/D101</f>
        <v>8.3483677714028826</v>
      </c>
      <c r="E122" s="40">
        <f t="shared" si="37"/>
        <v>8.5952031586538542</v>
      </c>
      <c r="F122" s="40">
        <f t="shared" si="37"/>
        <v>8.0679750372461712</v>
      </c>
      <c r="G122" s="40" t="e">
        <f t="shared" si="37"/>
        <v>#DIV/0!</v>
      </c>
      <c r="H122" s="40">
        <f t="shared" si="37"/>
        <v>7.9007808410644804</v>
      </c>
      <c r="I122" s="40" t="e">
        <f t="shared" si="37"/>
        <v>#DIV/0!</v>
      </c>
      <c r="J122" s="40">
        <f t="shared" si="37"/>
        <v>7.7358115598449393</v>
      </c>
      <c r="K122" s="40">
        <f t="shared" si="37"/>
        <v>16.309771221888688</v>
      </c>
      <c r="L122" s="40">
        <f t="shared" si="37"/>
        <v>7.9918041255089971</v>
      </c>
      <c r="N122" s="79"/>
    </row>
    <row r="123" spans="2:14" x14ac:dyDescent="0.25">
      <c r="B123" s="41" t="s">
        <v>194</v>
      </c>
      <c r="C123" s="40">
        <f>C29*1/C101</f>
        <v>7.9972997092910649</v>
      </c>
      <c r="D123" s="40">
        <f t="shared" ref="D123:L123" si="38">D29*1/D101</f>
        <v>8.5725762271751105</v>
      </c>
      <c r="E123" s="40">
        <f t="shared" si="38"/>
        <v>8.4001105351793299</v>
      </c>
      <c r="F123" s="40">
        <f t="shared" si="38"/>
        <v>8.0057134298922996</v>
      </c>
      <c r="G123" s="40" t="e">
        <f t="shared" si="38"/>
        <v>#DIV/0!</v>
      </c>
      <c r="H123" s="40">
        <f t="shared" si="38"/>
        <v>8.1088177610464331</v>
      </c>
      <c r="I123" s="40" t="e">
        <f t="shared" si="38"/>
        <v>#DIV/0!</v>
      </c>
      <c r="J123" s="40">
        <f t="shared" si="38"/>
        <v>7.7753099866359259</v>
      </c>
      <c r="K123" s="40">
        <f t="shared" si="38"/>
        <v>16.165885099158508</v>
      </c>
      <c r="L123" s="40">
        <f t="shared" si="38"/>
        <v>8.0928373950809984</v>
      </c>
      <c r="M123" s="42"/>
      <c r="N123" s="79"/>
    </row>
    <row r="124" spans="2:14" x14ac:dyDescent="0.25">
      <c r="B124" s="30" t="s">
        <v>81</v>
      </c>
      <c r="C124" s="40">
        <f>+C122-C123</f>
        <v>-3.8068434871955326E-2</v>
      </c>
      <c r="D124" s="40">
        <f t="shared" ref="D124:L124" si="39">+D122-D123</f>
        <v>-0.22420845577222792</v>
      </c>
      <c r="E124" s="40">
        <f t="shared" si="39"/>
        <v>0.19509262347452427</v>
      </c>
      <c r="F124" s="40">
        <f t="shared" si="39"/>
        <v>6.226160735387154E-2</v>
      </c>
      <c r="G124" s="40" t="e">
        <f t="shared" si="39"/>
        <v>#DIV/0!</v>
      </c>
      <c r="H124" s="40">
        <f t="shared" si="39"/>
        <v>-0.20803691998195273</v>
      </c>
      <c r="I124" s="40" t="e">
        <f t="shared" si="39"/>
        <v>#DIV/0!</v>
      </c>
      <c r="J124" s="40">
        <f t="shared" si="39"/>
        <v>-3.9498426790986585E-2</v>
      </c>
      <c r="K124" s="40">
        <f t="shared" si="39"/>
        <v>0.14388612273017998</v>
      </c>
      <c r="L124" s="40">
        <f t="shared" si="39"/>
        <v>-0.10103326957200132</v>
      </c>
    </row>
    <row r="125" spans="2:14" x14ac:dyDescent="0.25">
      <c r="B125" s="30" t="s">
        <v>195</v>
      </c>
      <c r="C125" s="40">
        <f>C31*1/C101</f>
        <v>7.9972997092910649</v>
      </c>
      <c r="D125" s="40">
        <f t="shared" ref="D125:L125" si="40">D31*1/D101</f>
        <v>8.5725762271751105</v>
      </c>
      <c r="E125" s="40">
        <f t="shared" si="40"/>
        <v>8.4001105351793299</v>
      </c>
      <c r="F125" s="40">
        <f t="shared" si="40"/>
        <v>8.0057134298922996</v>
      </c>
      <c r="G125" s="40" t="e">
        <f t="shared" si="40"/>
        <v>#DIV/0!</v>
      </c>
      <c r="H125" s="40">
        <f t="shared" si="40"/>
        <v>8.1088177610464331</v>
      </c>
      <c r="I125" s="40" t="e">
        <f t="shared" si="40"/>
        <v>#DIV/0!</v>
      </c>
      <c r="J125" s="40">
        <f t="shared" si="40"/>
        <v>7.7753099866359259</v>
      </c>
      <c r="K125" s="40">
        <f t="shared" si="40"/>
        <v>16.165885099158508</v>
      </c>
      <c r="L125" s="40">
        <f t="shared" si="40"/>
        <v>8.0928373950809984</v>
      </c>
      <c r="N125" s="78"/>
    </row>
    <row r="126" spans="2:14" x14ac:dyDescent="0.25">
      <c r="B126" s="30" t="s">
        <v>82</v>
      </c>
      <c r="C126" s="40">
        <f>+C122-C125</f>
        <v>-3.8068434871955326E-2</v>
      </c>
      <c r="D126" s="40">
        <f t="shared" ref="D126:L126" si="41">+D122-D125</f>
        <v>-0.22420845577222792</v>
      </c>
      <c r="E126" s="40">
        <f t="shared" si="41"/>
        <v>0.19509262347452427</v>
      </c>
      <c r="F126" s="40">
        <f t="shared" si="41"/>
        <v>6.226160735387154E-2</v>
      </c>
      <c r="G126" s="40" t="e">
        <f t="shared" si="41"/>
        <v>#DIV/0!</v>
      </c>
      <c r="H126" s="40">
        <f t="shared" si="41"/>
        <v>-0.20803691998195273</v>
      </c>
      <c r="I126" s="40" t="e">
        <f t="shared" si="41"/>
        <v>#DIV/0!</v>
      </c>
      <c r="J126" s="40">
        <f t="shared" si="41"/>
        <v>-3.9498426790986585E-2</v>
      </c>
      <c r="K126" s="40">
        <f t="shared" si="41"/>
        <v>0.14388612273017998</v>
      </c>
      <c r="L126" s="40">
        <f t="shared" si="41"/>
        <v>-0.10103326957200132</v>
      </c>
    </row>
    <row r="127" spans="2:14" ht="30" x14ac:dyDescent="0.25">
      <c r="B127" s="35" t="s">
        <v>196</v>
      </c>
      <c r="C127" s="40">
        <f>(C31-C23-C26)*1/C101</f>
        <v>7.9972997092910649</v>
      </c>
      <c r="D127" s="40">
        <f t="shared" ref="D127:L127" si="42">(D31-D23-D26)*1/D101</f>
        <v>8.5725762271751105</v>
      </c>
      <c r="E127" s="40">
        <f t="shared" si="42"/>
        <v>8.4001105351793299</v>
      </c>
      <c r="F127" s="40">
        <f t="shared" si="42"/>
        <v>8.0057134298922996</v>
      </c>
      <c r="G127" s="40" t="e">
        <f t="shared" si="42"/>
        <v>#DIV/0!</v>
      </c>
      <c r="H127" s="40">
        <f t="shared" si="42"/>
        <v>8.1088177610464331</v>
      </c>
      <c r="I127" s="40" t="e">
        <f t="shared" si="42"/>
        <v>#DIV/0!</v>
      </c>
      <c r="J127" s="40">
        <f t="shared" si="42"/>
        <v>7.7753099866359259</v>
      </c>
      <c r="K127" s="40">
        <f t="shared" si="42"/>
        <v>16.165885099158508</v>
      </c>
      <c r="L127" s="40">
        <f t="shared" si="42"/>
        <v>8.0928373950809984</v>
      </c>
      <c r="N127" s="80"/>
    </row>
    <row r="128" spans="2:14" ht="30" x14ac:dyDescent="0.25">
      <c r="B128" s="35" t="s">
        <v>83</v>
      </c>
      <c r="C128" s="40">
        <f>+C122-C127</f>
        <v>-3.8068434871955326E-2</v>
      </c>
      <c r="D128" s="40">
        <f t="shared" ref="D128:L128" si="43">+D122-D127</f>
        <v>-0.22420845577222792</v>
      </c>
      <c r="E128" s="40">
        <f t="shared" si="43"/>
        <v>0.19509262347452427</v>
      </c>
      <c r="F128" s="40">
        <f t="shared" si="43"/>
        <v>6.226160735387154E-2</v>
      </c>
      <c r="G128" s="40" t="e">
        <f t="shared" si="43"/>
        <v>#DIV/0!</v>
      </c>
      <c r="H128" s="40">
        <f t="shared" si="43"/>
        <v>-0.20803691998195273</v>
      </c>
      <c r="I128" s="40" t="e">
        <f t="shared" si="43"/>
        <v>#DIV/0!</v>
      </c>
      <c r="J128" s="40">
        <f t="shared" si="43"/>
        <v>-3.9498426790986585E-2</v>
      </c>
      <c r="K128" s="40">
        <f t="shared" si="43"/>
        <v>0.14388612273017998</v>
      </c>
      <c r="L128" s="40">
        <f t="shared" si="43"/>
        <v>-0.10103326957200132</v>
      </c>
    </row>
    <row r="129" spans="1:15" x14ac:dyDescent="0.25">
      <c r="B129" s="30" t="s">
        <v>84</v>
      </c>
      <c r="C129" s="33">
        <f>91*C62/SUM(C14)</f>
        <v>69.967772008567252</v>
      </c>
      <c r="D129" s="33">
        <f>91*D62/SUM(D14)</f>
        <v>97.349844922814327</v>
      </c>
      <c r="E129" s="33">
        <f>183*E62/SUM((C14,E14))</f>
        <v>70.942790041264885</v>
      </c>
      <c r="F129" s="33">
        <f>183*F62/SUM((D14,F14))</f>
        <v>99.24523273478718</v>
      </c>
      <c r="G129" s="33">
        <f>275*G62/SUM(C14,E14,G14)</f>
        <v>0</v>
      </c>
      <c r="H129" s="33">
        <f>275*H62/SUM(D14,F14,H14)</f>
        <v>87.867700123045481</v>
      </c>
      <c r="I129" s="33">
        <f>365*I62/SUM(C14,E14,G14,I14)</f>
        <v>0</v>
      </c>
      <c r="J129" s="33">
        <f>365*J62/SUM(D14,F14,H14,J14)</f>
        <v>86.301758745776581</v>
      </c>
      <c r="K129"/>
      <c r="L129"/>
    </row>
    <row r="130" spans="1:15" x14ac:dyDescent="0.25">
      <c r="B130" s="30" t="s">
        <v>85</v>
      </c>
      <c r="C130" s="33">
        <f>91*C82/SUM(C37)</f>
        <v>28.883516745494639</v>
      </c>
      <c r="D130" s="33">
        <f>91*D82/SUM(D37)</f>
        <v>26.949773692366396</v>
      </c>
      <c r="E130" s="33">
        <f>183*E82/SUM(C37,E37)</f>
        <v>30.620452359389578</v>
      </c>
      <c r="F130" s="33">
        <f>183*F82/SUM(D37,F37)</f>
        <v>32.497948548126857</v>
      </c>
      <c r="G130" s="33">
        <f>275*G82/SUM(C37,E37,G37)</f>
        <v>0</v>
      </c>
      <c r="H130" s="33">
        <f>275*H82/SUM(D37,F37,H37)</f>
        <v>35.811566588891132</v>
      </c>
      <c r="I130" s="33">
        <f>365*I82/SUM(C37,E37,G37,I37)</f>
        <v>0</v>
      </c>
      <c r="J130" s="33">
        <f>365*J82/SUM(D37,F37,H37,J37)</f>
        <v>39.313684623475474</v>
      </c>
      <c r="K130"/>
      <c r="L130"/>
    </row>
    <row r="131" spans="1:15" x14ac:dyDescent="0.25">
      <c r="B131" s="30" t="s">
        <v>86</v>
      </c>
      <c r="C131" s="33" t="e">
        <f>C74+#REF!+#REF!</f>
        <v>#REF!</v>
      </c>
      <c r="D131" s="33" t="e">
        <f>D74+#REF!+#REF!</f>
        <v>#REF!</v>
      </c>
      <c r="E131" s="33" t="e">
        <f>E74+#REF!+#REF!</f>
        <v>#REF!</v>
      </c>
      <c r="F131" s="33" t="e">
        <f>F74+#REF!+#REF!</f>
        <v>#REF!</v>
      </c>
      <c r="G131" s="33" t="e">
        <f>G74+#REF!+#REF!</f>
        <v>#REF!</v>
      </c>
      <c r="H131" s="33" t="e">
        <f>H74+#REF!+#REF!</f>
        <v>#REF!</v>
      </c>
      <c r="I131" s="33" t="e">
        <f>I74+#REF!+#REF!</f>
        <v>#REF!</v>
      </c>
      <c r="J131" s="33" t="e">
        <f>J74+#REF!+#REF!</f>
        <v>#REF!</v>
      </c>
      <c r="K131" s="33" t="e">
        <f>K219</f>
        <v>#N/A</v>
      </c>
      <c r="L131" s="33" t="e">
        <f>K220</f>
        <v>#N/A</v>
      </c>
    </row>
    <row r="133" spans="1:15" x14ac:dyDescent="0.25">
      <c r="A133" s="42"/>
      <c r="B133" s="42"/>
    </row>
    <row r="134" spans="1:15" x14ac:dyDescent="0.25">
      <c r="B134" s="7" t="s">
        <v>197</v>
      </c>
      <c r="C134" s="130" t="s">
        <v>10</v>
      </c>
      <c r="D134" s="131"/>
      <c r="E134" s="130" t="s">
        <v>11</v>
      </c>
      <c r="F134" s="131"/>
      <c r="G134" s="130" t="s">
        <v>12</v>
      </c>
      <c r="H134" s="131"/>
      <c r="I134" s="130" t="s">
        <v>13</v>
      </c>
      <c r="J134" s="131"/>
      <c r="K134" s="132" t="s">
        <v>14</v>
      </c>
      <c r="L134" s="133"/>
    </row>
    <row r="135" spans="1:15" x14ac:dyDescent="0.25">
      <c r="B135" s="7"/>
      <c r="C135" s="9" t="str">
        <f>$B$6</f>
        <v>2022-23</v>
      </c>
      <c r="D135" s="9" t="str">
        <f>$B$7</f>
        <v>2021-22</v>
      </c>
      <c r="E135" s="9" t="str">
        <f>$B$6</f>
        <v>2022-23</v>
      </c>
      <c r="F135" s="9" t="str">
        <f>$B$7</f>
        <v>2021-22</v>
      </c>
      <c r="G135" s="9" t="str">
        <f>$B$6</f>
        <v>2022-23</v>
      </c>
      <c r="H135" s="9" t="str">
        <f>$B$7</f>
        <v>2021-22</v>
      </c>
      <c r="I135" s="9" t="str">
        <f>$B$6</f>
        <v>2022-23</v>
      </c>
      <c r="J135" s="9" t="str">
        <f>$B$7</f>
        <v>2021-22</v>
      </c>
      <c r="K135" s="9" t="str">
        <f>$B$6</f>
        <v>2022-23</v>
      </c>
      <c r="L135" s="9" t="str">
        <f>$B$7</f>
        <v>2021-22</v>
      </c>
    </row>
    <row r="136" spans="1:15" ht="18.75" x14ac:dyDescent="0.25">
      <c r="B136" s="16" t="s">
        <v>87</v>
      </c>
      <c r="C136" s="120">
        <f>11915904</f>
        <v>11915904</v>
      </c>
      <c r="D136" s="120">
        <f>11876738</f>
        <v>11876738</v>
      </c>
      <c r="E136" s="38">
        <v>9108241</v>
      </c>
      <c r="F136" s="120">
        <f>9778642</f>
        <v>9778642</v>
      </c>
      <c r="G136" s="38"/>
      <c r="H136" s="120">
        <f>9657674</f>
        <v>9657674</v>
      </c>
      <c r="I136" s="38"/>
      <c r="J136" s="120">
        <f>10234618</f>
        <v>10234618</v>
      </c>
      <c r="K136" s="45">
        <f>C136+E136+G136+I136</f>
        <v>21024145</v>
      </c>
      <c r="L136" s="45">
        <f>D136+F136+H136+J136</f>
        <v>41547672</v>
      </c>
      <c r="N136" s="117"/>
    </row>
    <row r="137" spans="1:15" ht="18.75" x14ac:dyDescent="0.25">
      <c r="B137" s="16" t="s">
        <v>88</v>
      </c>
      <c r="C137" s="120">
        <f>(10962909+5867497-150837)</f>
        <v>16679569</v>
      </c>
      <c r="D137" s="120">
        <f>(6913048+3081645-61798)</f>
        <v>9932895</v>
      </c>
      <c r="E137" s="38">
        <f>9954108+5835692-151962</f>
        <v>15637838</v>
      </c>
      <c r="F137" s="120">
        <f>(6514042+4010906-41790)</f>
        <v>10483158</v>
      </c>
      <c r="G137" s="38"/>
      <c r="H137" s="120">
        <f>(9106593+5347475-123347)</f>
        <v>14330721</v>
      </c>
      <c r="I137" s="38"/>
      <c r="J137" s="120">
        <f>(9967738+5532636-147023)</f>
        <v>15353351</v>
      </c>
      <c r="K137" s="45">
        <f t="shared" ref="K137:L140" si="44">C137+E137+G137+I137</f>
        <v>32317407</v>
      </c>
      <c r="L137" s="45">
        <f t="shared" si="44"/>
        <v>50100125</v>
      </c>
      <c r="N137" s="117"/>
    </row>
    <row r="138" spans="1:15" ht="18.75" x14ac:dyDescent="0.25">
      <c r="B138" s="16" t="s">
        <v>89</v>
      </c>
      <c r="C138" s="120">
        <f>14496</f>
        <v>14496</v>
      </c>
      <c r="D138" s="120">
        <f>17810</f>
        <v>17810</v>
      </c>
      <c r="E138" s="38">
        <v>6385</v>
      </c>
      <c r="F138" s="120">
        <f>9641</f>
        <v>9641</v>
      </c>
      <c r="G138" s="38"/>
      <c r="H138" s="120">
        <f>6442</f>
        <v>6442</v>
      </c>
      <c r="I138" s="38"/>
      <c r="J138" s="120">
        <f>18669</f>
        <v>18669</v>
      </c>
      <c r="K138" s="45">
        <f t="shared" si="44"/>
        <v>20881</v>
      </c>
      <c r="L138" s="45">
        <f t="shared" si="44"/>
        <v>52562</v>
      </c>
      <c r="N138" s="117"/>
      <c r="O138" s="43"/>
    </row>
    <row r="139" spans="1:15" ht="18.75" x14ac:dyDescent="0.25">
      <c r="B139" s="16" t="s">
        <v>90</v>
      </c>
      <c r="C139" s="120">
        <f>(830866+141409-33355)</f>
        <v>938920</v>
      </c>
      <c r="D139" s="120">
        <f>(502493+97248-32091)</f>
        <v>567650</v>
      </c>
      <c r="E139" s="38">
        <f>771819+148394-27688</f>
        <v>892525</v>
      </c>
      <c r="F139" s="120">
        <f>(708244+129521-32027)</f>
        <v>805738</v>
      </c>
      <c r="G139" s="38"/>
      <c r="H139" s="120">
        <f>(769652+146009-33337)</f>
        <v>882324</v>
      </c>
      <c r="I139" s="38"/>
      <c r="J139" s="120">
        <f>(789981+147229-37550)</f>
        <v>899660</v>
      </c>
      <c r="K139" s="45">
        <f t="shared" si="44"/>
        <v>1831445</v>
      </c>
      <c r="L139" s="45">
        <f t="shared" si="44"/>
        <v>3155372</v>
      </c>
      <c r="N139" s="117"/>
      <c r="O139" s="44"/>
    </row>
    <row r="140" spans="1:15" ht="18.75" x14ac:dyDescent="0.25">
      <c r="B140" s="16" t="s">
        <v>91</v>
      </c>
      <c r="C140" s="121">
        <f>(261593+591064+33355+1054870+150837+309193)</f>
        <v>2400912</v>
      </c>
      <c r="D140" s="120">
        <f>(306622+202905+969973+61798+32091+487059)</f>
        <v>2060448</v>
      </c>
      <c r="E140" s="38">
        <f>309610+240946+27688+532941+1089068+151962</f>
        <v>2352215</v>
      </c>
      <c r="F140" s="120">
        <f>(285732+180904+32027+477420+41790+982479)</f>
        <v>2000352</v>
      </c>
      <c r="G140" s="38"/>
      <c r="H140" s="120">
        <f>(218445+288224+533117+33337+1120157+123347)</f>
        <v>2316627</v>
      </c>
      <c r="I140" s="38"/>
      <c r="J140" s="120">
        <f>(257551+291702+584399+37550+1048685+147023)</f>
        <v>2366910</v>
      </c>
      <c r="K140" s="45">
        <f t="shared" si="44"/>
        <v>4753127</v>
      </c>
      <c r="L140" s="45">
        <f t="shared" si="44"/>
        <v>8744337</v>
      </c>
      <c r="N140" s="117"/>
      <c r="O140" s="44"/>
    </row>
    <row r="141" spans="1:15" x14ac:dyDescent="0.25">
      <c r="B141" s="16" t="s">
        <v>92</v>
      </c>
      <c r="C141" s="45">
        <f>+C142+C143+C144+C145+C146</f>
        <v>8108655</v>
      </c>
      <c r="D141" s="45">
        <f t="shared" ref="D141:L141" si="45">+D142+D143+D144+D145+D146</f>
        <v>7124561</v>
      </c>
      <c r="E141" s="45">
        <f t="shared" si="45"/>
        <v>7992910</v>
      </c>
      <c r="F141" s="45">
        <f t="shared" si="45"/>
        <v>7086608</v>
      </c>
      <c r="G141" s="45">
        <f t="shared" si="45"/>
        <v>0</v>
      </c>
      <c r="H141" s="45">
        <f t="shared" si="45"/>
        <v>7528610</v>
      </c>
      <c r="I141" s="45">
        <f t="shared" si="45"/>
        <v>0</v>
      </c>
      <c r="J141" s="45">
        <f t="shared" si="45"/>
        <v>8360024</v>
      </c>
      <c r="K141" s="45">
        <f t="shared" si="45"/>
        <v>16101565</v>
      </c>
      <c r="L141" s="45">
        <f t="shared" si="45"/>
        <v>30099803</v>
      </c>
      <c r="N141" s="117"/>
      <c r="O141" s="44"/>
    </row>
    <row r="142" spans="1:15" x14ac:dyDescent="0.25">
      <c r="B142" s="12" t="s">
        <v>93</v>
      </c>
      <c r="C142" s="38"/>
      <c r="D142" s="38"/>
      <c r="E142" s="38"/>
      <c r="F142" s="38"/>
      <c r="G142" s="38"/>
      <c r="H142" s="38"/>
      <c r="I142" s="38"/>
      <c r="J142" s="38"/>
      <c r="K142" s="45">
        <f t="shared" ref="K142:L146" si="46">C142+E142+G142+I142</f>
        <v>0</v>
      </c>
      <c r="L142" s="45">
        <f t="shared" si="46"/>
        <v>0</v>
      </c>
      <c r="N142" s="117"/>
      <c r="O142" s="44"/>
    </row>
    <row r="143" spans="1:15" x14ac:dyDescent="0.25">
      <c r="B143" s="12" t="s">
        <v>94</v>
      </c>
      <c r="C143" s="38"/>
      <c r="D143" s="38"/>
      <c r="E143" s="38"/>
      <c r="F143" s="38"/>
      <c r="G143" s="38"/>
      <c r="H143" s="38"/>
      <c r="I143" s="38"/>
      <c r="J143" s="38"/>
      <c r="K143" s="45">
        <f t="shared" si="46"/>
        <v>0</v>
      </c>
      <c r="L143" s="45">
        <f t="shared" si="46"/>
        <v>0</v>
      </c>
      <c r="N143" s="117"/>
      <c r="O143" s="44"/>
    </row>
    <row r="144" spans="1:15" ht="18.75" x14ac:dyDescent="0.25">
      <c r="B144" s="12" t="s">
        <v>95</v>
      </c>
      <c r="C144" s="121">
        <f>(39264+4733113+4093872-1054870-591064-261593)+1059933+90000</f>
        <v>8108655</v>
      </c>
      <c r="D144" s="121">
        <f>(38427+3286329+4299838-202905-969973-487059)+1069904+90000</f>
        <v>7124561</v>
      </c>
      <c r="E144" s="38">
        <f>39636+3697363+4901442-240946-532941-1089068+90000+1127424</f>
        <v>7992910</v>
      </c>
      <c r="F144" s="120">
        <f>(66921+3253999+5768+4272030-477420-982479-180904)+1038693+90000</f>
        <v>7086608</v>
      </c>
      <c r="G144" s="38"/>
      <c r="H144" s="120">
        <f>(98364+12881+3690074+4678874-533117-1120157-218445)+830136+90000</f>
        <v>7528610</v>
      </c>
      <c r="I144" s="38"/>
      <c r="J144" s="120">
        <f>(3944692+13492+97782+4751202-1048685-257551-584399)+1353491+90000</f>
        <v>8360024</v>
      </c>
      <c r="K144" s="45">
        <f t="shared" si="46"/>
        <v>16101565</v>
      </c>
      <c r="L144" s="45">
        <f t="shared" si="46"/>
        <v>30099803</v>
      </c>
      <c r="N144" s="117"/>
      <c r="O144" s="46"/>
    </row>
    <row r="145" spans="2:15" x14ac:dyDescent="0.25">
      <c r="B145" s="12" t="s">
        <v>96</v>
      </c>
      <c r="C145" s="38"/>
      <c r="D145" s="38"/>
      <c r="E145" s="38"/>
      <c r="F145" s="38"/>
      <c r="G145" s="38"/>
      <c r="H145" s="38"/>
      <c r="I145" s="38"/>
      <c r="J145" s="38"/>
      <c r="K145" s="45">
        <f t="shared" si="46"/>
        <v>0</v>
      </c>
      <c r="L145" s="45">
        <f t="shared" si="46"/>
        <v>0</v>
      </c>
      <c r="N145" s="117"/>
      <c r="O145" s="47"/>
    </row>
    <row r="146" spans="2:15" x14ac:dyDescent="0.25">
      <c r="B146" s="12" t="s">
        <v>97</v>
      </c>
      <c r="C146" s="38"/>
      <c r="D146" s="38"/>
      <c r="E146" s="38"/>
      <c r="F146" s="38"/>
      <c r="G146" s="38"/>
      <c r="H146" s="38"/>
      <c r="I146" s="38"/>
      <c r="J146" s="38"/>
      <c r="K146" s="45">
        <f t="shared" si="46"/>
        <v>0</v>
      </c>
      <c r="L146" s="45">
        <f t="shared" si="46"/>
        <v>0</v>
      </c>
      <c r="N146" s="117"/>
    </row>
    <row r="147" spans="2:15" s="42" customFormat="1" x14ac:dyDescent="0.25">
      <c r="B147" s="30" t="s">
        <v>98</v>
      </c>
      <c r="C147" s="33">
        <f>+C136+C137+C138+C139+C140+C141</f>
        <v>40058456</v>
      </c>
      <c r="D147" s="33">
        <f t="shared" ref="D147:L147" si="47">+D136+D137+D138+D139+D140+D141</f>
        <v>31580102</v>
      </c>
      <c r="E147" s="33">
        <f t="shared" si="47"/>
        <v>35990114</v>
      </c>
      <c r="F147" s="33">
        <f t="shared" si="47"/>
        <v>30164139</v>
      </c>
      <c r="G147" s="33">
        <f t="shared" si="47"/>
        <v>0</v>
      </c>
      <c r="H147" s="33">
        <f t="shared" si="47"/>
        <v>34722398</v>
      </c>
      <c r="I147" s="33">
        <f t="shared" si="47"/>
        <v>0</v>
      </c>
      <c r="J147" s="33">
        <f t="shared" si="47"/>
        <v>37233232</v>
      </c>
      <c r="K147" s="33">
        <f t="shared" si="47"/>
        <v>76048570</v>
      </c>
      <c r="L147" s="33">
        <f t="shared" si="47"/>
        <v>133699871</v>
      </c>
      <c r="N147" s="117"/>
      <c r="O147" s="48"/>
    </row>
    <row r="148" spans="2:15" s="85" customFormat="1" x14ac:dyDescent="0.25">
      <c r="B148" s="86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N148" s="88"/>
      <c r="O148" s="88"/>
    </row>
    <row r="149" spans="2:15" s="85" customFormat="1" x14ac:dyDescent="0.25">
      <c r="B149" s="86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N149" s="88"/>
      <c r="O149" s="88"/>
    </row>
    <row r="150" spans="2:15" s="85" customFormat="1" x14ac:dyDescent="0.25">
      <c r="B150" s="7" t="s">
        <v>198</v>
      </c>
      <c r="C150" s="130" t="s">
        <v>10</v>
      </c>
      <c r="D150" s="131"/>
      <c r="E150" s="130" t="s">
        <v>11</v>
      </c>
      <c r="F150" s="131"/>
      <c r="G150" s="130" t="s">
        <v>12</v>
      </c>
      <c r="H150" s="131"/>
      <c r="I150" s="130" t="s">
        <v>13</v>
      </c>
      <c r="J150" s="131"/>
      <c r="K150" s="132" t="s">
        <v>14</v>
      </c>
      <c r="L150" s="133"/>
      <c r="N150" s="88"/>
      <c r="O150" s="88"/>
    </row>
    <row r="151" spans="2:15" s="85" customFormat="1" x14ac:dyDescent="0.25">
      <c r="B151" s="7"/>
      <c r="C151" s="9" t="str">
        <f>$B$6</f>
        <v>2022-23</v>
      </c>
      <c r="D151" s="9" t="str">
        <f>$B$7</f>
        <v>2021-22</v>
      </c>
      <c r="E151" s="9" t="str">
        <f>$B$6</f>
        <v>2022-23</v>
      </c>
      <c r="F151" s="9" t="str">
        <f>$B$7</f>
        <v>2021-22</v>
      </c>
      <c r="G151" s="9" t="str">
        <f>$B$6</f>
        <v>2022-23</v>
      </c>
      <c r="H151" s="9" t="str">
        <f>$B$7</f>
        <v>2021-22</v>
      </c>
      <c r="I151" s="9" t="str">
        <f>$B$6</f>
        <v>2022-23</v>
      </c>
      <c r="J151" s="9" t="str">
        <f>$B$7</f>
        <v>2021-22</v>
      </c>
      <c r="K151" s="9" t="str">
        <f>$B$6</f>
        <v>2022-23</v>
      </c>
      <c r="L151" s="9" t="str">
        <f>$B$7</f>
        <v>2021-22</v>
      </c>
      <c r="N151" s="88"/>
      <c r="O151" s="88"/>
    </row>
    <row r="152" spans="2:15" s="85" customFormat="1" ht="18.75" x14ac:dyDescent="0.25">
      <c r="B152" s="16" t="s">
        <v>87</v>
      </c>
      <c r="C152" s="120">
        <f>79946209</f>
        <v>79946209</v>
      </c>
      <c r="D152" s="120">
        <f>80910082</f>
        <v>80910082</v>
      </c>
      <c r="E152" s="38">
        <v>59022081</v>
      </c>
      <c r="F152" s="120">
        <f>62609371</f>
        <v>62609371</v>
      </c>
      <c r="G152" s="38"/>
      <c r="H152" s="120">
        <f>60768948</f>
        <v>60768948</v>
      </c>
      <c r="I152" s="38"/>
      <c r="J152" s="120">
        <f>65903888</f>
        <v>65903888</v>
      </c>
      <c r="K152" s="45">
        <f t="shared" ref="K152:L156" si="48">C152+E152+G152+I152</f>
        <v>138968290</v>
      </c>
      <c r="L152" s="45">
        <f t="shared" si="48"/>
        <v>270192289</v>
      </c>
      <c r="N152" s="88"/>
      <c r="O152" s="88"/>
    </row>
    <row r="153" spans="2:15" s="85" customFormat="1" ht="18.75" x14ac:dyDescent="0.25">
      <c r="B153" s="16" t="s">
        <v>88</v>
      </c>
      <c r="C153" s="120">
        <f>(123071739+62518759-1584554)</f>
        <v>184005944</v>
      </c>
      <c r="D153" s="120">
        <f>(81922841+37819983-770313)</f>
        <v>118972511</v>
      </c>
      <c r="E153" s="38">
        <f>66924316+116025876-1715627</f>
        <v>181234565</v>
      </c>
      <c r="F153" s="120">
        <f>(78523992+45564461-626007)</f>
        <v>123462446</v>
      </c>
      <c r="G153" s="38"/>
      <c r="H153" s="120">
        <f>(104253834+57214302-1327343)</f>
        <v>160140793</v>
      </c>
      <c r="I153" s="38"/>
      <c r="J153" s="120">
        <f>(112876753+59150523-1517898)</f>
        <v>170509378</v>
      </c>
      <c r="K153" s="45">
        <f t="shared" si="48"/>
        <v>365240509</v>
      </c>
      <c r="L153" s="45">
        <f t="shared" si="48"/>
        <v>573085128</v>
      </c>
      <c r="N153" s="88"/>
      <c r="O153" s="88"/>
    </row>
    <row r="154" spans="2:15" s="85" customFormat="1" ht="18.75" x14ac:dyDescent="0.25">
      <c r="B154" s="16" t="s">
        <v>89</v>
      </c>
      <c r="C154" s="120">
        <f>64444</f>
        <v>64444</v>
      </c>
      <c r="D154" s="120">
        <f>73562</f>
        <v>73562</v>
      </c>
      <c r="E154" s="38">
        <v>47042</v>
      </c>
      <c r="F154" s="120">
        <f>53083</f>
        <v>53083</v>
      </c>
      <c r="G154" s="38"/>
      <c r="H154" s="120">
        <f>42804</f>
        <v>42804</v>
      </c>
      <c r="I154" s="38"/>
      <c r="J154" s="120">
        <f>76564</f>
        <v>76564</v>
      </c>
      <c r="K154" s="45">
        <f t="shared" si="48"/>
        <v>111486</v>
      </c>
      <c r="L154" s="45">
        <f t="shared" si="48"/>
        <v>246013</v>
      </c>
      <c r="N154" s="88"/>
      <c r="O154" s="88"/>
    </row>
    <row r="155" spans="2:15" s="85" customFormat="1" ht="18.75" x14ac:dyDescent="0.25">
      <c r="B155" s="16" t="s">
        <v>90</v>
      </c>
      <c r="C155" s="120">
        <f>(6211114+1175668-247119)</f>
        <v>7139663</v>
      </c>
      <c r="D155" s="120">
        <f>(4196266+876528-239508)</f>
        <v>4833286</v>
      </c>
      <c r="E155" s="38">
        <f>6018915+1327524-224206</f>
        <v>7122233</v>
      </c>
      <c r="F155" s="120">
        <f>(5559531+1066534-244349)</f>
        <v>6381716</v>
      </c>
      <c r="G155" s="38"/>
      <c r="H155" s="120">
        <f>(5913657+1179783-251814)</f>
        <v>6841626</v>
      </c>
      <c r="I155" s="38"/>
      <c r="J155" s="120">
        <f>(6000095+1190194-277775)</f>
        <v>6912514</v>
      </c>
      <c r="K155" s="45">
        <f t="shared" si="48"/>
        <v>14261896</v>
      </c>
      <c r="L155" s="45">
        <f t="shared" si="48"/>
        <v>24969142</v>
      </c>
      <c r="N155" s="88"/>
      <c r="O155" s="88"/>
    </row>
    <row r="156" spans="2:15" s="85" customFormat="1" ht="18.75" x14ac:dyDescent="0.25">
      <c r="B156" s="16" t="s">
        <v>91</v>
      </c>
      <c r="C156" s="120">
        <f>(1393700+1584554+247119+8713649+5144739+2184001)</f>
        <v>19267762</v>
      </c>
      <c r="D156" s="120">
        <f>(1382501+1668361+4268352+239508+8169937+770313)</f>
        <v>16498972</v>
      </c>
      <c r="E156" s="38">
        <f>1542110+2053920+4880396+224206+1715627+10209067</f>
        <v>20625326</v>
      </c>
      <c r="F156" s="120">
        <f>(1318389+1562225+4421706+244349+8626154+626007)</f>
        <v>16798830</v>
      </c>
      <c r="G156" s="38"/>
      <c r="H156" s="120">
        <f>(1303621+1856756+4843798+251814+1327343+9743847)</f>
        <v>19327179</v>
      </c>
      <c r="I156" s="38"/>
      <c r="J156" s="120">
        <f>(1318601+2138471+5096407+277775+9195658+1517898)</f>
        <v>19544810</v>
      </c>
      <c r="K156" s="45">
        <f t="shared" si="48"/>
        <v>39893088</v>
      </c>
      <c r="L156" s="45">
        <f t="shared" si="48"/>
        <v>72169791</v>
      </c>
      <c r="N156" s="88"/>
      <c r="O156" s="88"/>
    </row>
    <row r="157" spans="2:15" s="85" customFormat="1" x14ac:dyDescent="0.25">
      <c r="B157" s="16" t="s">
        <v>92</v>
      </c>
      <c r="C157" s="45">
        <f>+C158+C159+C160+C161+C162</f>
        <v>70023202</v>
      </c>
      <c r="D157" s="45">
        <f t="shared" ref="D157:L157" si="49">+D158+D159+D160+D161+D162</f>
        <v>60896280</v>
      </c>
      <c r="E157" s="45">
        <f t="shared" si="49"/>
        <v>71820659</v>
      </c>
      <c r="F157" s="45">
        <f t="shared" si="49"/>
        <v>60102790</v>
      </c>
      <c r="G157" s="45">
        <f t="shared" si="49"/>
        <v>0</v>
      </c>
      <c r="H157" s="45">
        <f t="shared" si="49"/>
        <v>66276281</v>
      </c>
      <c r="I157" s="45">
        <f t="shared" si="49"/>
        <v>0</v>
      </c>
      <c r="J157" s="45">
        <f t="shared" si="49"/>
        <v>69111562</v>
      </c>
      <c r="K157" s="45">
        <f t="shared" si="49"/>
        <v>141843861</v>
      </c>
      <c r="L157" s="45">
        <f t="shared" si="49"/>
        <v>256386913</v>
      </c>
      <c r="N157" s="88"/>
      <c r="O157" s="88"/>
    </row>
    <row r="158" spans="2:15" s="85" customFormat="1" x14ac:dyDescent="0.25">
      <c r="B158" s="12" t="s">
        <v>93</v>
      </c>
      <c r="C158" s="38"/>
      <c r="D158" s="38"/>
      <c r="E158" s="38"/>
      <c r="F158" s="38"/>
      <c r="G158" s="38"/>
      <c r="H158" s="38"/>
      <c r="I158" s="38"/>
      <c r="J158" s="38"/>
      <c r="K158" s="45">
        <f t="shared" ref="K158:L162" si="50">C158+E158+G158+I158</f>
        <v>0</v>
      </c>
      <c r="L158" s="45">
        <f t="shared" si="50"/>
        <v>0</v>
      </c>
      <c r="N158" s="88"/>
      <c r="O158" s="88"/>
    </row>
    <row r="159" spans="2:15" s="85" customFormat="1" x14ac:dyDescent="0.25">
      <c r="B159" s="12" t="s">
        <v>94</v>
      </c>
      <c r="C159" s="38"/>
      <c r="D159" s="38"/>
      <c r="E159" s="38"/>
      <c r="F159" s="38"/>
      <c r="G159" s="38"/>
      <c r="H159" s="38"/>
      <c r="I159" s="38"/>
      <c r="J159" s="38"/>
      <c r="K159" s="45">
        <f t="shared" si="50"/>
        <v>0</v>
      </c>
      <c r="L159" s="45">
        <f t="shared" si="50"/>
        <v>0</v>
      </c>
      <c r="N159" s="88"/>
      <c r="O159" s="88"/>
    </row>
    <row r="160" spans="2:15" s="85" customFormat="1" ht="18.75" x14ac:dyDescent="0.25">
      <c r="B160" s="12" t="s">
        <v>95</v>
      </c>
      <c r="C160" s="120">
        <f>(42010079+43541419+514093-8713649-5144739-2184001)</f>
        <v>70023202</v>
      </c>
      <c r="D160" s="120">
        <f>(381819+34319361+39764654+537096-1668361-4268352-8169937)</f>
        <v>60896280</v>
      </c>
      <c r="E160" s="38">
        <f>48972796+527979+39463267-2053920-4880396-10209067</f>
        <v>71820659</v>
      </c>
      <c r="F160" s="120">
        <f>(217918+789833+34382836+39322288-1562225-4421706-8626154)</f>
        <v>60102790</v>
      </c>
      <c r="G160" s="38"/>
      <c r="H160" s="120">
        <f>(324824+1038943+38342744+43014171-1856756-4843798-9743847)</f>
        <v>66276281</v>
      </c>
      <c r="I160" s="38"/>
      <c r="J160" s="120">
        <f>(40334695+304961+43860745+1041697-2138471-5096407-9195658)</f>
        <v>69111562</v>
      </c>
      <c r="K160" s="45">
        <f t="shared" si="50"/>
        <v>141843861</v>
      </c>
      <c r="L160" s="45">
        <f t="shared" si="50"/>
        <v>256386913</v>
      </c>
      <c r="N160" s="88"/>
      <c r="O160" s="88"/>
    </row>
    <row r="161" spans="1:32" s="85" customFormat="1" x14ac:dyDescent="0.25">
      <c r="B161" s="12" t="s">
        <v>96</v>
      </c>
      <c r="C161" s="38"/>
      <c r="D161" s="38"/>
      <c r="E161" s="38"/>
      <c r="F161" s="38"/>
      <c r="G161" s="38"/>
      <c r="H161" s="38"/>
      <c r="I161" s="38"/>
      <c r="J161" s="38"/>
      <c r="K161" s="45">
        <f t="shared" si="50"/>
        <v>0</v>
      </c>
      <c r="L161" s="45">
        <f t="shared" si="50"/>
        <v>0</v>
      </c>
      <c r="N161" s="88"/>
      <c r="O161" s="88"/>
    </row>
    <row r="162" spans="1:32" s="85" customFormat="1" x14ac:dyDescent="0.25">
      <c r="B162" s="12" t="s">
        <v>97</v>
      </c>
      <c r="C162" s="38"/>
      <c r="D162" s="38"/>
      <c r="E162" s="38"/>
      <c r="F162" s="38"/>
      <c r="G162" s="38"/>
      <c r="H162" s="38"/>
      <c r="I162" s="38"/>
      <c r="J162" s="38"/>
      <c r="K162" s="45">
        <f t="shared" si="50"/>
        <v>0</v>
      </c>
      <c r="L162" s="45">
        <f t="shared" si="50"/>
        <v>0</v>
      </c>
      <c r="N162" s="88"/>
      <c r="O162" s="88"/>
    </row>
    <row r="163" spans="1:32" s="85" customFormat="1" x14ac:dyDescent="0.25">
      <c r="B163" s="30" t="s">
        <v>98</v>
      </c>
      <c r="C163" s="33">
        <f>+C152+C153+C154+C155+C156+C157</f>
        <v>360447224</v>
      </c>
      <c r="D163" s="33">
        <f t="shared" ref="D163:L163" si="51">+D152+D153+D154+D155+D156+D157</f>
        <v>282184693</v>
      </c>
      <c r="E163" s="33">
        <f t="shared" si="51"/>
        <v>339871906</v>
      </c>
      <c r="F163" s="33">
        <f t="shared" si="51"/>
        <v>269408236</v>
      </c>
      <c r="G163" s="33">
        <f t="shared" si="51"/>
        <v>0</v>
      </c>
      <c r="H163" s="33">
        <f t="shared" si="51"/>
        <v>313397631</v>
      </c>
      <c r="I163" s="33">
        <f t="shared" si="51"/>
        <v>0</v>
      </c>
      <c r="J163" s="33">
        <f t="shared" si="51"/>
        <v>332058716</v>
      </c>
      <c r="K163" s="33">
        <f t="shared" si="51"/>
        <v>700319130</v>
      </c>
      <c r="L163" s="33">
        <f t="shared" si="51"/>
        <v>1197049276</v>
      </c>
      <c r="N163" s="88"/>
      <c r="O163" s="88"/>
    </row>
    <row r="164" spans="1:32" s="85" customFormat="1" x14ac:dyDescent="0.25">
      <c r="B164" s="86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N164" s="88"/>
      <c r="O164" s="88"/>
    </row>
    <row r="165" spans="1:32" s="85" customFormat="1" ht="28.5" customHeight="1" x14ac:dyDescent="0.25">
      <c r="A165" s="109" t="s">
        <v>129</v>
      </c>
      <c r="B165" s="138" t="s">
        <v>189</v>
      </c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N165" s="88"/>
      <c r="O165" s="88"/>
    </row>
    <row r="166" spans="1:32" s="85" customFormat="1" ht="22.5" customHeight="1" x14ac:dyDescent="0.25">
      <c r="B166" s="86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N166" s="88"/>
      <c r="O166" s="88"/>
    </row>
    <row r="167" spans="1:32" s="85" customFormat="1" ht="24.75" customHeight="1" x14ac:dyDescent="0.25">
      <c r="B167" s="86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N167" s="88"/>
      <c r="O167" s="88"/>
    </row>
    <row r="168" spans="1:32" s="85" customFormat="1" hidden="1" x14ac:dyDescent="0.25">
      <c r="B168" s="86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N168" s="88"/>
      <c r="O168" s="88"/>
    </row>
    <row r="169" spans="1:32" hidden="1" x14ac:dyDescent="0.25">
      <c r="N169" s="49"/>
      <c r="O169" s="49"/>
    </row>
    <row r="170" spans="1:32" hidden="1" x14ac:dyDescent="0.25">
      <c r="B170" s="50" t="s">
        <v>99</v>
      </c>
      <c r="C170" s="134" t="s">
        <v>10</v>
      </c>
      <c r="D170" s="135"/>
      <c r="E170" s="135"/>
      <c r="F170" s="135"/>
      <c r="G170" s="135"/>
      <c r="H170" s="136"/>
      <c r="I170" s="134" t="s">
        <v>11</v>
      </c>
      <c r="J170" s="135"/>
      <c r="K170" s="135"/>
      <c r="L170" s="135"/>
      <c r="M170" s="135"/>
      <c r="N170" s="136"/>
      <c r="O170" s="134" t="s">
        <v>12</v>
      </c>
      <c r="P170" s="135"/>
      <c r="Q170" s="135"/>
      <c r="R170" s="135"/>
      <c r="S170" s="135"/>
      <c r="T170" s="136"/>
      <c r="U170" s="134" t="s">
        <v>13</v>
      </c>
      <c r="V170" s="135"/>
      <c r="W170" s="135"/>
      <c r="X170" s="135"/>
      <c r="Y170" s="135"/>
      <c r="Z170" s="136"/>
      <c r="AA170" s="134" t="s">
        <v>14</v>
      </c>
      <c r="AB170" s="135"/>
      <c r="AC170" s="135"/>
      <c r="AD170" s="135"/>
      <c r="AE170" s="135"/>
      <c r="AF170" s="136"/>
    </row>
    <row r="171" spans="1:32" hidden="1" x14ac:dyDescent="0.25">
      <c r="B171" s="50"/>
      <c r="C171" s="134" t="str">
        <f>$B$6</f>
        <v>2022-23</v>
      </c>
      <c r="D171" s="135"/>
      <c r="E171" s="136"/>
      <c r="F171" s="134" t="str">
        <f>$B$7</f>
        <v>2021-22</v>
      </c>
      <c r="G171" s="135"/>
      <c r="H171" s="136"/>
      <c r="I171" s="134" t="str">
        <f>$B$6</f>
        <v>2022-23</v>
      </c>
      <c r="J171" s="135"/>
      <c r="K171" s="136"/>
      <c r="L171" s="134" t="str">
        <f>$B$7</f>
        <v>2021-22</v>
      </c>
      <c r="M171" s="135"/>
      <c r="N171" s="136"/>
      <c r="O171" s="134" t="str">
        <f>$B$6</f>
        <v>2022-23</v>
      </c>
      <c r="P171" s="135"/>
      <c r="Q171" s="136"/>
      <c r="R171" s="134" t="str">
        <f>$B$7</f>
        <v>2021-22</v>
      </c>
      <c r="S171" s="135"/>
      <c r="T171" s="136"/>
      <c r="U171" s="134" t="str">
        <f>$B$6</f>
        <v>2022-23</v>
      </c>
      <c r="V171" s="135"/>
      <c r="W171" s="136"/>
      <c r="X171" s="134" t="str">
        <f>$B$7</f>
        <v>2021-22</v>
      </c>
      <c r="Y171" s="135"/>
      <c r="Z171" s="136"/>
      <c r="AA171" s="134" t="str">
        <f>$B$6</f>
        <v>2022-23</v>
      </c>
      <c r="AB171" s="135"/>
      <c r="AC171" s="136"/>
      <c r="AD171" s="134" t="str">
        <f>$B$7</f>
        <v>2021-22</v>
      </c>
      <c r="AE171" s="135"/>
      <c r="AF171" s="136"/>
    </row>
    <row r="172" spans="1:32" ht="60" hidden="1" x14ac:dyDescent="0.25">
      <c r="B172" s="8"/>
      <c r="C172" s="51" t="s">
        <v>100</v>
      </c>
      <c r="D172" s="51" t="s">
        <v>101</v>
      </c>
      <c r="E172" s="51" t="s">
        <v>102</v>
      </c>
      <c r="F172" s="51" t="s">
        <v>100</v>
      </c>
      <c r="G172" s="51" t="s">
        <v>101</v>
      </c>
      <c r="H172" s="51" t="s">
        <v>102</v>
      </c>
      <c r="I172" s="51" t="s">
        <v>100</v>
      </c>
      <c r="J172" s="51" t="s">
        <v>101</v>
      </c>
      <c r="K172" s="51" t="s">
        <v>102</v>
      </c>
      <c r="L172" s="9" t="s">
        <v>100</v>
      </c>
      <c r="M172" s="9" t="s">
        <v>101</v>
      </c>
      <c r="N172" s="9" t="s">
        <v>102</v>
      </c>
      <c r="O172" s="51" t="s">
        <v>100</v>
      </c>
      <c r="P172" s="51" t="s">
        <v>101</v>
      </c>
      <c r="Q172" s="51" t="s">
        <v>102</v>
      </c>
      <c r="R172" s="9" t="s">
        <v>100</v>
      </c>
      <c r="S172" s="9" t="s">
        <v>101</v>
      </c>
      <c r="T172" s="9" t="s">
        <v>102</v>
      </c>
      <c r="U172" s="51" t="s">
        <v>100</v>
      </c>
      <c r="V172" s="51" t="s">
        <v>101</v>
      </c>
      <c r="W172" s="51" t="s">
        <v>102</v>
      </c>
      <c r="X172" s="9" t="s">
        <v>100</v>
      </c>
      <c r="Y172" s="9" t="s">
        <v>101</v>
      </c>
      <c r="Z172" s="9" t="s">
        <v>102</v>
      </c>
      <c r="AA172" s="51" t="s">
        <v>100</v>
      </c>
      <c r="AB172" s="51" t="s">
        <v>101</v>
      </c>
      <c r="AC172" s="51" t="s">
        <v>102</v>
      </c>
      <c r="AD172" s="9" t="s">
        <v>100</v>
      </c>
      <c r="AE172" s="9" t="s">
        <v>101</v>
      </c>
      <c r="AF172" s="9" t="s">
        <v>102</v>
      </c>
    </row>
    <row r="173" spans="1:32" hidden="1" x14ac:dyDescent="0.25">
      <c r="B173" s="16" t="s">
        <v>103</v>
      </c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45">
        <f>C173+I173++O173+U173</f>
        <v>0</v>
      </c>
      <c r="AB173" s="45">
        <f t="shared" ref="AB173:AD177" si="52">D173+J173++P173+V173</f>
        <v>0</v>
      </c>
      <c r="AC173" s="45">
        <f t="shared" si="52"/>
        <v>0</v>
      </c>
      <c r="AD173" s="45">
        <f>F173+L173++R173+X173</f>
        <v>0</v>
      </c>
      <c r="AE173" s="45">
        <f t="shared" ref="AE173:AF177" si="53">G173+M173++S173+Y173</f>
        <v>0</v>
      </c>
      <c r="AF173" s="45">
        <f t="shared" si="53"/>
        <v>0</v>
      </c>
    </row>
    <row r="174" spans="1:32" hidden="1" x14ac:dyDescent="0.25">
      <c r="B174" s="16" t="s">
        <v>104</v>
      </c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45">
        <f>C174+I174++O174+U174</f>
        <v>0</v>
      </c>
      <c r="AB174" s="45">
        <f t="shared" si="52"/>
        <v>0</v>
      </c>
      <c r="AC174" s="45">
        <f t="shared" si="52"/>
        <v>0</v>
      </c>
      <c r="AD174" s="45">
        <f t="shared" si="52"/>
        <v>0</v>
      </c>
      <c r="AE174" s="45">
        <f t="shared" si="53"/>
        <v>0</v>
      </c>
      <c r="AF174" s="45">
        <f t="shared" si="53"/>
        <v>0</v>
      </c>
    </row>
    <row r="175" spans="1:32" hidden="1" x14ac:dyDescent="0.25">
      <c r="B175" s="16" t="s">
        <v>105</v>
      </c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45">
        <f>C175+I175++O175+U175</f>
        <v>0</v>
      </c>
      <c r="AB175" s="45">
        <f t="shared" si="52"/>
        <v>0</v>
      </c>
      <c r="AC175" s="45">
        <f t="shared" si="52"/>
        <v>0</v>
      </c>
      <c r="AD175" s="45">
        <f t="shared" si="52"/>
        <v>0</v>
      </c>
      <c r="AE175" s="45">
        <f t="shared" si="53"/>
        <v>0</v>
      </c>
      <c r="AF175" s="45">
        <f t="shared" si="53"/>
        <v>0</v>
      </c>
    </row>
    <row r="176" spans="1:32" hidden="1" x14ac:dyDescent="0.25">
      <c r="B176" s="16" t="s">
        <v>106</v>
      </c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45">
        <f>C176+I176++O176+U176</f>
        <v>0</v>
      </c>
      <c r="AB176" s="45">
        <f t="shared" si="52"/>
        <v>0</v>
      </c>
      <c r="AC176" s="45">
        <f t="shared" si="52"/>
        <v>0</v>
      </c>
      <c r="AD176" s="45">
        <f t="shared" si="52"/>
        <v>0</v>
      </c>
      <c r="AE176" s="45">
        <f t="shared" si="53"/>
        <v>0</v>
      </c>
      <c r="AF176" s="45">
        <f t="shared" si="53"/>
        <v>0</v>
      </c>
    </row>
    <row r="177" spans="2:32" hidden="1" x14ac:dyDescent="0.25">
      <c r="B177" s="16" t="s">
        <v>107</v>
      </c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45">
        <f>C177+I177++O177+U177</f>
        <v>0</v>
      </c>
      <c r="AB177" s="45">
        <f t="shared" si="52"/>
        <v>0</v>
      </c>
      <c r="AC177" s="45">
        <f t="shared" si="52"/>
        <v>0</v>
      </c>
      <c r="AD177" s="45">
        <f t="shared" si="52"/>
        <v>0</v>
      </c>
      <c r="AE177" s="45">
        <f t="shared" si="53"/>
        <v>0</v>
      </c>
      <c r="AF177" s="45">
        <f t="shared" si="53"/>
        <v>0</v>
      </c>
    </row>
    <row r="178" spans="2:32" hidden="1" x14ac:dyDescent="0.25">
      <c r="B178" s="16" t="s">
        <v>108</v>
      </c>
      <c r="C178" s="45">
        <f>+C179+C180++C181+C182+C183</f>
        <v>0</v>
      </c>
      <c r="D178" s="45">
        <f t="shared" ref="D178:AF178" si="54">+D179+D180++D181+D182+D183</f>
        <v>0</v>
      </c>
      <c r="E178" s="45">
        <f t="shared" si="54"/>
        <v>0</v>
      </c>
      <c r="F178" s="45">
        <f t="shared" si="54"/>
        <v>0</v>
      </c>
      <c r="G178" s="45">
        <f t="shared" si="54"/>
        <v>0</v>
      </c>
      <c r="H178" s="45">
        <f t="shared" si="54"/>
        <v>0</v>
      </c>
      <c r="I178" s="45">
        <f t="shared" si="54"/>
        <v>0</v>
      </c>
      <c r="J178" s="45">
        <f t="shared" si="54"/>
        <v>0</v>
      </c>
      <c r="K178" s="45">
        <f t="shared" si="54"/>
        <v>0</v>
      </c>
      <c r="L178" s="45">
        <f t="shared" si="54"/>
        <v>0</v>
      </c>
      <c r="M178" s="45">
        <f t="shared" si="54"/>
        <v>0</v>
      </c>
      <c r="N178" s="45">
        <f t="shared" si="54"/>
        <v>0</v>
      </c>
      <c r="O178" s="45">
        <f t="shared" si="54"/>
        <v>0</v>
      </c>
      <c r="P178" s="45">
        <f t="shared" si="54"/>
        <v>0</v>
      </c>
      <c r="Q178" s="45">
        <f t="shared" si="54"/>
        <v>0</v>
      </c>
      <c r="R178" s="45">
        <f t="shared" si="54"/>
        <v>0</v>
      </c>
      <c r="S178" s="45">
        <f t="shared" si="54"/>
        <v>0</v>
      </c>
      <c r="T178" s="45">
        <f t="shared" si="54"/>
        <v>0</v>
      </c>
      <c r="U178" s="45">
        <f t="shared" si="54"/>
        <v>0</v>
      </c>
      <c r="V178" s="45">
        <f t="shared" si="54"/>
        <v>0</v>
      </c>
      <c r="W178" s="45">
        <f t="shared" si="54"/>
        <v>0</v>
      </c>
      <c r="X178" s="45">
        <f t="shared" si="54"/>
        <v>0</v>
      </c>
      <c r="Y178" s="45">
        <f t="shared" si="54"/>
        <v>0</v>
      </c>
      <c r="Z178" s="45">
        <f t="shared" si="54"/>
        <v>0</v>
      </c>
      <c r="AA178" s="45">
        <f t="shared" si="54"/>
        <v>0</v>
      </c>
      <c r="AB178" s="45">
        <f t="shared" si="54"/>
        <v>0</v>
      </c>
      <c r="AC178" s="45">
        <f t="shared" si="54"/>
        <v>0</v>
      </c>
      <c r="AD178" s="45">
        <f t="shared" si="54"/>
        <v>0</v>
      </c>
      <c r="AE178" s="45">
        <f t="shared" si="54"/>
        <v>0</v>
      </c>
      <c r="AF178" s="45">
        <f t="shared" si="54"/>
        <v>0</v>
      </c>
    </row>
    <row r="179" spans="2:32" hidden="1" x14ac:dyDescent="0.25">
      <c r="B179" s="12" t="s">
        <v>93</v>
      </c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45">
        <f t="shared" ref="AA179:AF183" si="55">C179+I179++O179+U179</f>
        <v>0</v>
      </c>
      <c r="AB179" s="45">
        <f t="shared" si="55"/>
        <v>0</v>
      </c>
      <c r="AC179" s="45">
        <f t="shared" si="55"/>
        <v>0</v>
      </c>
      <c r="AD179" s="45">
        <f t="shared" si="55"/>
        <v>0</v>
      </c>
      <c r="AE179" s="45">
        <f t="shared" si="55"/>
        <v>0</v>
      </c>
      <c r="AF179" s="45">
        <f t="shared" si="55"/>
        <v>0</v>
      </c>
    </row>
    <row r="180" spans="2:32" hidden="1" x14ac:dyDescent="0.25">
      <c r="B180" s="12" t="s">
        <v>94</v>
      </c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45">
        <f t="shared" si="55"/>
        <v>0</v>
      </c>
      <c r="AB180" s="45">
        <f t="shared" si="55"/>
        <v>0</v>
      </c>
      <c r="AC180" s="45">
        <f t="shared" si="55"/>
        <v>0</v>
      </c>
      <c r="AD180" s="45">
        <f t="shared" si="55"/>
        <v>0</v>
      </c>
      <c r="AE180" s="45">
        <f t="shared" si="55"/>
        <v>0</v>
      </c>
      <c r="AF180" s="45">
        <f t="shared" si="55"/>
        <v>0</v>
      </c>
    </row>
    <row r="181" spans="2:32" hidden="1" x14ac:dyDescent="0.25">
      <c r="B181" s="12" t="s">
        <v>95</v>
      </c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45">
        <f t="shared" si="55"/>
        <v>0</v>
      </c>
      <c r="AB181" s="45">
        <f t="shared" si="55"/>
        <v>0</v>
      </c>
      <c r="AC181" s="45">
        <f t="shared" si="55"/>
        <v>0</v>
      </c>
      <c r="AD181" s="45">
        <f t="shared" si="55"/>
        <v>0</v>
      </c>
      <c r="AE181" s="45">
        <f t="shared" si="55"/>
        <v>0</v>
      </c>
      <c r="AF181" s="45">
        <f t="shared" si="55"/>
        <v>0</v>
      </c>
    </row>
    <row r="182" spans="2:32" hidden="1" x14ac:dyDescent="0.25">
      <c r="B182" s="12" t="s">
        <v>96</v>
      </c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45">
        <f t="shared" si="55"/>
        <v>0</v>
      </c>
      <c r="AB182" s="45">
        <f t="shared" si="55"/>
        <v>0</v>
      </c>
      <c r="AC182" s="45">
        <f t="shared" si="55"/>
        <v>0</v>
      </c>
      <c r="AD182" s="45">
        <f t="shared" si="55"/>
        <v>0</v>
      </c>
      <c r="AE182" s="45">
        <f t="shared" si="55"/>
        <v>0</v>
      </c>
      <c r="AF182" s="45">
        <f t="shared" si="55"/>
        <v>0</v>
      </c>
    </row>
    <row r="183" spans="2:32" hidden="1" x14ac:dyDescent="0.25">
      <c r="B183" s="12" t="s">
        <v>97</v>
      </c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45">
        <f t="shared" si="55"/>
        <v>0</v>
      </c>
      <c r="AB183" s="45">
        <f t="shared" si="55"/>
        <v>0</v>
      </c>
      <c r="AC183" s="45">
        <f t="shared" si="55"/>
        <v>0</v>
      </c>
      <c r="AD183" s="45">
        <f t="shared" si="55"/>
        <v>0</v>
      </c>
      <c r="AE183" s="45">
        <f t="shared" si="55"/>
        <v>0</v>
      </c>
      <c r="AF183" s="45">
        <f t="shared" si="55"/>
        <v>0</v>
      </c>
    </row>
    <row r="184" spans="2:32" s="42" customFormat="1" hidden="1" x14ac:dyDescent="0.25">
      <c r="B184" s="30" t="s">
        <v>109</v>
      </c>
      <c r="C184" s="33">
        <f t="shared" ref="C184:AF184" si="56">SUM(C173:C178)</f>
        <v>0</v>
      </c>
      <c r="D184" s="33">
        <f t="shared" si="56"/>
        <v>0</v>
      </c>
      <c r="E184" s="33">
        <f t="shared" si="56"/>
        <v>0</v>
      </c>
      <c r="F184" s="33">
        <f t="shared" si="56"/>
        <v>0</v>
      </c>
      <c r="G184" s="33">
        <f t="shared" si="56"/>
        <v>0</v>
      </c>
      <c r="H184" s="33">
        <f t="shared" si="56"/>
        <v>0</v>
      </c>
      <c r="I184" s="33">
        <f t="shared" si="56"/>
        <v>0</v>
      </c>
      <c r="J184" s="33">
        <f t="shared" si="56"/>
        <v>0</v>
      </c>
      <c r="K184" s="33">
        <f t="shared" si="56"/>
        <v>0</v>
      </c>
      <c r="L184" s="33">
        <f t="shared" si="56"/>
        <v>0</v>
      </c>
      <c r="M184" s="33">
        <f t="shared" si="56"/>
        <v>0</v>
      </c>
      <c r="N184" s="33">
        <f t="shared" si="56"/>
        <v>0</v>
      </c>
      <c r="O184" s="33">
        <f t="shared" si="56"/>
        <v>0</v>
      </c>
      <c r="P184" s="33">
        <f t="shared" si="56"/>
        <v>0</v>
      </c>
      <c r="Q184" s="33">
        <f t="shared" si="56"/>
        <v>0</v>
      </c>
      <c r="R184" s="33">
        <f t="shared" si="56"/>
        <v>0</v>
      </c>
      <c r="S184" s="33">
        <f t="shared" si="56"/>
        <v>0</v>
      </c>
      <c r="T184" s="33">
        <f t="shared" si="56"/>
        <v>0</v>
      </c>
      <c r="U184" s="33">
        <f t="shared" si="56"/>
        <v>0</v>
      </c>
      <c r="V184" s="33">
        <f t="shared" si="56"/>
        <v>0</v>
      </c>
      <c r="W184" s="33">
        <f t="shared" si="56"/>
        <v>0</v>
      </c>
      <c r="X184" s="33">
        <f t="shared" si="56"/>
        <v>0</v>
      </c>
      <c r="Y184" s="33">
        <f t="shared" si="56"/>
        <v>0</v>
      </c>
      <c r="Z184" s="33">
        <f t="shared" si="56"/>
        <v>0</v>
      </c>
      <c r="AA184" s="33">
        <f t="shared" si="56"/>
        <v>0</v>
      </c>
      <c r="AB184" s="33">
        <f t="shared" si="56"/>
        <v>0</v>
      </c>
      <c r="AC184" s="33">
        <f t="shared" si="56"/>
        <v>0</v>
      </c>
      <c r="AD184" s="33">
        <f t="shared" si="56"/>
        <v>0</v>
      </c>
      <c r="AE184" s="33">
        <f t="shared" si="56"/>
        <v>0</v>
      </c>
      <c r="AF184" s="33">
        <f t="shared" si="56"/>
        <v>0</v>
      </c>
    </row>
    <row r="185" spans="2:32" hidden="1" x14ac:dyDescent="0.25">
      <c r="N185" s="49"/>
      <c r="O185" s="49"/>
    </row>
    <row r="186" spans="2:32" hidden="1" x14ac:dyDescent="0.25">
      <c r="N186" s="49"/>
      <c r="O186" s="49"/>
    </row>
    <row r="187" spans="2:32" hidden="1" x14ac:dyDescent="0.25">
      <c r="B187" s="8" t="s">
        <v>110</v>
      </c>
      <c r="C187" s="130" t="s">
        <v>10</v>
      </c>
      <c r="D187" s="137"/>
      <c r="E187" s="130" t="s">
        <v>11</v>
      </c>
      <c r="F187" s="137"/>
      <c r="G187" s="130" t="s">
        <v>12</v>
      </c>
      <c r="H187" s="137"/>
      <c r="I187" s="130" t="s">
        <v>13</v>
      </c>
      <c r="J187" s="137"/>
      <c r="K187" s="132" t="s">
        <v>14</v>
      </c>
      <c r="L187" s="133"/>
    </row>
    <row r="188" spans="2:32" hidden="1" x14ac:dyDescent="0.25">
      <c r="B188" s="8"/>
      <c r="C188" s="9" t="str">
        <f t="shared" ref="C188:K188" si="57">$B$6</f>
        <v>2022-23</v>
      </c>
      <c r="D188" s="9" t="str">
        <f t="shared" ref="D188:L188" si="58">$B$7</f>
        <v>2021-22</v>
      </c>
      <c r="E188" s="9" t="str">
        <f t="shared" si="57"/>
        <v>2022-23</v>
      </c>
      <c r="F188" s="9" t="str">
        <f t="shared" si="58"/>
        <v>2021-22</v>
      </c>
      <c r="G188" s="9" t="str">
        <f t="shared" si="57"/>
        <v>2022-23</v>
      </c>
      <c r="H188" s="9" t="str">
        <f t="shared" si="58"/>
        <v>2021-22</v>
      </c>
      <c r="I188" s="9" t="str">
        <f t="shared" si="57"/>
        <v>2022-23</v>
      </c>
      <c r="J188" s="9" t="str">
        <f t="shared" si="58"/>
        <v>2021-22</v>
      </c>
      <c r="K188" s="9" t="str">
        <f t="shared" si="57"/>
        <v>2022-23</v>
      </c>
      <c r="L188" s="9" t="str">
        <f t="shared" si="58"/>
        <v>2021-22</v>
      </c>
    </row>
    <row r="189" spans="2:32" hidden="1" x14ac:dyDescent="0.25">
      <c r="B189" s="8"/>
      <c r="C189" s="52" t="s">
        <v>111</v>
      </c>
      <c r="D189" s="52" t="s">
        <v>111</v>
      </c>
      <c r="E189" s="52" t="s">
        <v>111</v>
      </c>
      <c r="F189" s="52" t="s">
        <v>111</v>
      </c>
      <c r="G189" s="52" t="s">
        <v>111</v>
      </c>
      <c r="H189" s="52" t="s">
        <v>111</v>
      </c>
      <c r="I189" s="52" t="s">
        <v>111</v>
      </c>
      <c r="J189" s="52" t="s">
        <v>111</v>
      </c>
      <c r="K189" s="52" t="s">
        <v>111</v>
      </c>
      <c r="L189" s="52" t="s">
        <v>111</v>
      </c>
    </row>
    <row r="190" spans="2:32" hidden="1" x14ac:dyDescent="0.25">
      <c r="B190" s="16" t="s">
        <v>112</v>
      </c>
      <c r="C190" s="38"/>
      <c r="D190" s="38"/>
      <c r="E190" s="38"/>
      <c r="F190" s="38"/>
      <c r="G190" s="38"/>
      <c r="H190" s="38"/>
      <c r="I190" s="38"/>
      <c r="J190" s="38"/>
      <c r="K190" s="45">
        <f t="shared" ref="K190:L192" si="59">C190+E190+G190+I190</f>
        <v>0</v>
      </c>
      <c r="L190" s="45">
        <f t="shared" si="59"/>
        <v>0</v>
      </c>
    </row>
    <row r="191" spans="2:32" hidden="1" x14ac:dyDescent="0.25">
      <c r="B191" s="16" t="s">
        <v>113</v>
      </c>
      <c r="C191" s="38"/>
      <c r="D191" s="38"/>
      <c r="E191" s="38"/>
      <c r="F191" s="38"/>
      <c r="G191" s="38"/>
      <c r="H191" s="38"/>
      <c r="I191" s="38"/>
      <c r="J191" s="38"/>
      <c r="K191" s="45">
        <f t="shared" si="59"/>
        <v>0</v>
      </c>
      <c r="L191" s="45">
        <f t="shared" si="59"/>
        <v>0</v>
      </c>
    </row>
    <row r="192" spans="2:32" hidden="1" x14ac:dyDescent="0.25">
      <c r="B192" s="16" t="s">
        <v>114</v>
      </c>
      <c r="C192" s="38"/>
      <c r="D192" s="38"/>
      <c r="E192" s="38"/>
      <c r="F192" s="38"/>
      <c r="G192" s="38"/>
      <c r="H192" s="38"/>
      <c r="I192" s="38"/>
      <c r="J192" s="38"/>
      <c r="K192" s="45">
        <f t="shared" si="59"/>
        <v>0</v>
      </c>
      <c r="L192" s="45">
        <f t="shared" si="59"/>
        <v>0</v>
      </c>
    </row>
    <row r="193" spans="1:22" s="42" customFormat="1" hidden="1" x14ac:dyDescent="0.25">
      <c r="B193" s="30" t="s">
        <v>115</v>
      </c>
      <c r="C193" s="33">
        <f t="shared" ref="C193:L193" si="60">+C190+C191+C192</f>
        <v>0</v>
      </c>
      <c r="D193" s="33">
        <f t="shared" si="60"/>
        <v>0</v>
      </c>
      <c r="E193" s="33">
        <f t="shared" si="60"/>
        <v>0</v>
      </c>
      <c r="F193" s="33">
        <f t="shared" si="60"/>
        <v>0</v>
      </c>
      <c r="G193" s="33">
        <f t="shared" si="60"/>
        <v>0</v>
      </c>
      <c r="H193" s="33">
        <f t="shared" si="60"/>
        <v>0</v>
      </c>
      <c r="I193" s="33">
        <f t="shared" si="60"/>
        <v>0</v>
      </c>
      <c r="J193" s="33">
        <f t="shared" si="60"/>
        <v>0</v>
      </c>
      <c r="K193" s="33">
        <f t="shared" si="60"/>
        <v>0</v>
      </c>
      <c r="L193" s="33">
        <f t="shared" si="60"/>
        <v>0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s="42" customFormat="1" hidden="1" x14ac:dyDescent="0.25"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s="42" customFormat="1" hidden="1" x14ac:dyDescent="0.25"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idden="1" x14ac:dyDescent="0.25">
      <c r="A196" s="84" t="s">
        <v>129</v>
      </c>
      <c r="B196" s="129" t="s">
        <v>130</v>
      </c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N196" s="49"/>
      <c r="O196" s="49"/>
    </row>
    <row r="197" spans="1:22" hidden="1" x14ac:dyDescent="0.25"/>
    <row r="204" spans="1:22" hidden="1" x14ac:dyDescent="0.25">
      <c r="B204" s="55" t="s">
        <v>120</v>
      </c>
      <c r="C204" s="53">
        <f>IF(ISBLANK(C110),"",C110)</f>
        <v>230789384</v>
      </c>
      <c r="D204" s="53"/>
      <c r="E204" s="53">
        <f>IF(ISBLANK(E110),"",E110)</f>
        <v>241564936</v>
      </c>
      <c r="F204" s="53"/>
      <c r="G204" s="53" t="str">
        <f>IF(ISBLANK(G110),"",G110)</f>
        <v/>
      </c>
      <c r="H204" s="53"/>
      <c r="I204" s="53" t="str">
        <f>IF(ISBLANK(I110),"",I110)</f>
        <v/>
      </c>
      <c r="J204" s="53"/>
      <c r="K204" s="54">
        <f>LOOKUP(2,1/(C204:J204&lt;&gt;""),C204:J204)</f>
        <v>241564936</v>
      </c>
    </row>
    <row r="205" spans="1:22" hidden="1" x14ac:dyDescent="0.25">
      <c r="B205" s="55" t="s">
        <v>3</v>
      </c>
      <c r="C205" s="54"/>
      <c r="D205" s="53">
        <f>IF(ISBLANK(D110),"",D110)</f>
        <v>208837137</v>
      </c>
      <c r="E205" s="54"/>
      <c r="F205" s="53">
        <f>IF(ISBLANK(F110),"",F110)</f>
        <v>244171603</v>
      </c>
      <c r="G205" s="54"/>
      <c r="H205" s="53">
        <f>IF(ISBLANK(H110),"",H110)</f>
        <v>242552656</v>
      </c>
      <c r="I205" s="54"/>
      <c r="J205" s="53">
        <f>IF(ISBLANK(J110),"",J110)</f>
        <v>225641929</v>
      </c>
      <c r="K205" s="54">
        <f>LOOKUP(2,1/(C205:J205&lt;&gt;""),C205:J205)</f>
        <v>225641929</v>
      </c>
    </row>
    <row r="206" spans="1:22" hidden="1" x14ac:dyDescent="0.25">
      <c r="B206" s="55" t="s">
        <v>2</v>
      </c>
      <c r="C206" s="53">
        <f>IF(C111=0,"",C111)</f>
        <v>241564936</v>
      </c>
      <c r="D206" s="55"/>
      <c r="E206" s="53">
        <f>IF(E111=0,"",E111)</f>
        <v>242034189</v>
      </c>
      <c r="F206" s="55"/>
      <c r="G206" s="53" t="str">
        <f>IF(G111=0,"",G111)</f>
        <v/>
      </c>
      <c r="H206" s="55"/>
      <c r="I206" s="53" t="str">
        <f>IF(I111=0,"",I111)</f>
        <v/>
      </c>
      <c r="J206" s="55"/>
      <c r="K206" s="54">
        <f>LOOKUP(2,1/(C206:J206&lt;&gt;""),C206:J206)</f>
        <v>242034189</v>
      </c>
    </row>
    <row r="207" spans="1:22" hidden="1" x14ac:dyDescent="0.25">
      <c r="B207" s="55"/>
      <c r="C207" s="56"/>
      <c r="D207" s="53">
        <f>IF(D111=0,"",D111)</f>
        <v>244171603</v>
      </c>
      <c r="E207" s="55"/>
      <c r="F207" s="53">
        <f>IF(F111=0,"",F111)</f>
        <v>242552656</v>
      </c>
      <c r="G207" s="55"/>
      <c r="H207" s="53">
        <f>IF(H111=0,"",H111)</f>
        <v>225641929</v>
      </c>
      <c r="I207" s="55"/>
      <c r="J207" s="53">
        <f>IF(J111=0,"",J111)</f>
        <v>230789384</v>
      </c>
      <c r="K207" s="54">
        <f>LOOKUP(2,1/(C207:J207&lt;&gt;""),C207:J207)</f>
        <v>230789384</v>
      </c>
    </row>
    <row r="208" spans="1:22" hidden="1" x14ac:dyDescent="0.25">
      <c r="B208" s="55"/>
      <c r="C208" s="55"/>
      <c r="D208" s="55"/>
      <c r="E208" s="55"/>
      <c r="F208" s="55"/>
      <c r="G208" s="55"/>
      <c r="H208" s="55"/>
      <c r="I208" s="55"/>
      <c r="J208" s="55"/>
      <c r="K208" s="55"/>
    </row>
    <row r="209" spans="2:11" hidden="1" x14ac:dyDescent="0.25">
      <c r="B209" s="55" t="s">
        <v>121</v>
      </c>
      <c r="C209" s="67">
        <f t="shared" ref="C209:J209" si="61">C62</f>
        <v>254528099.00999999</v>
      </c>
      <c r="D209" s="67">
        <f t="shared" si="61"/>
        <v>278201269</v>
      </c>
      <c r="E209" s="67">
        <f t="shared" si="61"/>
        <v>249659575.61000001</v>
      </c>
      <c r="F209" s="67">
        <f t="shared" si="61"/>
        <v>275568885</v>
      </c>
      <c r="G209" s="67">
        <f t="shared" si="61"/>
        <v>0</v>
      </c>
      <c r="H209" s="67">
        <f t="shared" si="61"/>
        <v>254422484</v>
      </c>
      <c r="I209" s="67">
        <f t="shared" si="61"/>
        <v>0</v>
      </c>
      <c r="J209" s="67">
        <f t="shared" si="61"/>
        <v>260616171.00999999</v>
      </c>
      <c r="K209" s="67"/>
    </row>
    <row r="210" spans="2:11" hidden="1" x14ac:dyDescent="0.25">
      <c r="B210" s="55" t="s">
        <v>3</v>
      </c>
      <c r="C210" s="67">
        <f>IF(C209=0,"",C209)</f>
        <v>254528099.00999999</v>
      </c>
      <c r="D210" s="68"/>
      <c r="E210" s="67">
        <f>IF(E209=0,"",E209)</f>
        <v>249659575.61000001</v>
      </c>
      <c r="F210" s="68"/>
      <c r="G210" s="67" t="str">
        <f>IF(G209=0,"",G209)</f>
        <v/>
      </c>
      <c r="H210" s="68"/>
      <c r="I210" s="67" t="str">
        <f>IF(I209=0,"",I209)</f>
        <v/>
      </c>
      <c r="J210" s="68"/>
      <c r="K210" s="67">
        <f>LOOKUP(2,1/(C210:J210&lt;&gt;""),C210:J210)</f>
        <v>249659575.61000001</v>
      </c>
    </row>
    <row r="211" spans="2:11" hidden="1" x14ac:dyDescent="0.25">
      <c r="B211" s="55" t="s">
        <v>2</v>
      </c>
      <c r="C211" s="68"/>
      <c r="D211" s="67">
        <f>IF(D209=0,"",D209)</f>
        <v>278201269</v>
      </c>
      <c r="E211" s="68"/>
      <c r="F211" s="67">
        <f>IF(F209=0,"",F209)</f>
        <v>275568885</v>
      </c>
      <c r="G211" s="68"/>
      <c r="H211" s="67">
        <f>IF(H209=0,"",H209)</f>
        <v>254422484</v>
      </c>
      <c r="I211" s="68"/>
      <c r="J211" s="67">
        <f>IF(J209=0,"",J209)</f>
        <v>260616171.00999999</v>
      </c>
      <c r="K211" s="67">
        <f>LOOKUP(2,1/(C211:J211&lt;&gt;""),C211:J211)</f>
        <v>260616171.00999999</v>
      </c>
    </row>
    <row r="212" spans="2:11" customFormat="1" hidden="1" x14ac:dyDescent="0.25"/>
    <row r="213" spans="2:11" customFormat="1" hidden="1" x14ac:dyDescent="0.25"/>
    <row r="214" spans="2:11" hidden="1" x14ac:dyDescent="0.25">
      <c r="B214" s="55" t="s">
        <v>118</v>
      </c>
      <c r="C214" s="67">
        <f t="shared" ref="C214:J214" si="62">C82</f>
        <v>89338297</v>
      </c>
      <c r="D214" s="67">
        <f>D82</f>
        <v>62757630</v>
      </c>
      <c r="E214" s="67">
        <f t="shared" si="62"/>
        <v>93397520</v>
      </c>
      <c r="F214" s="67">
        <f t="shared" si="62"/>
        <v>76401180</v>
      </c>
      <c r="G214" s="67">
        <f t="shared" si="62"/>
        <v>0</v>
      </c>
      <c r="H214" s="67">
        <f t="shared" si="62"/>
        <v>88496930</v>
      </c>
      <c r="I214" s="67">
        <f t="shared" si="62"/>
        <v>0</v>
      </c>
      <c r="J214" s="67">
        <f t="shared" si="62"/>
        <v>102371990</v>
      </c>
      <c r="K214" s="67"/>
    </row>
    <row r="215" spans="2:11" hidden="1" x14ac:dyDescent="0.25">
      <c r="B215" s="55" t="s">
        <v>3</v>
      </c>
      <c r="C215" s="67">
        <f>IF(C214=0,"",C214)</f>
        <v>89338297</v>
      </c>
      <c r="D215" s="68"/>
      <c r="E215" s="67">
        <f>IF(E214=0,"",E214)</f>
        <v>93397520</v>
      </c>
      <c r="F215" s="68"/>
      <c r="G215" s="67" t="str">
        <f>IF(G214=0,"",G214)</f>
        <v/>
      </c>
      <c r="H215" s="68"/>
      <c r="I215" s="67" t="str">
        <f>IF(I214=0,"",I214)</f>
        <v/>
      </c>
      <c r="J215" s="68"/>
      <c r="K215" s="67">
        <f>LOOKUP(2,1/(C215:J215&lt;&gt;""),C215:J215)</f>
        <v>93397520</v>
      </c>
    </row>
    <row r="216" spans="2:11" hidden="1" x14ac:dyDescent="0.25">
      <c r="B216" s="55" t="s">
        <v>2</v>
      </c>
      <c r="C216" s="68"/>
      <c r="D216" s="67">
        <f>IF(D214=0,"",D214)</f>
        <v>62757630</v>
      </c>
      <c r="E216" s="68"/>
      <c r="F216" s="67">
        <f>IF(F214=0,"",F214)</f>
        <v>76401180</v>
      </c>
      <c r="G216" s="68"/>
      <c r="H216" s="67">
        <f>IF(H214=0,"",H214)</f>
        <v>88496930</v>
      </c>
      <c r="I216" s="68"/>
      <c r="J216" s="67">
        <f>IF(J214=0,"",J214)</f>
        <v>102371990</v>
      </c>
      <c r="K216" s="67">
        <f>LOOKUP(2,1/(C216:J216&lt;&gt;""),C216:J216)</f>
        <v>102371990</v>
      </c>
    </row>
    <row r="217" spans="2:11" hidden="1" x14ac:dyDescent="0.25">
      <c r="B217" s="55"/>
      <c r="C217" s="55"/>
      <c r="D217" s="55"/>
      <c r="E217" s="55"/>
      <c r="F217" s="55"/>
      <c r="G217" s="55"/>
      <c r="H217" s="55"/>
      <c r="I217" s="55"/>
      <c r="J217" s="55"/>
      <c r="K217" s="55"/>
    </row>
    <row r="218" spans="2:11" hidden="1" x14ac:dyDescent="0.25">
      <c r="B218" s="55" t="s">
        <v>119</v>
      </c>
      <c r="C218" s="69" t="e">
        <f>C74+#REF!+#REF!</f>
        <v>#REF!</v>
      </c>
      <c r="D218" s="69" t="e">
        <f>D74+#REF!+#REF!</f>
        <v>#REF!</v>
      </c>
      <c r="E218" s="69" t="e">
        <f>E74+#REF!+#REF!</f>
        <v>#REF!</v>
      </c>
      <c r="F218" s="69" t="e">
        <f>F74+#REF!+#REF!</f>
        <v>#REF!</v>
      </c>
      <c r="G218" s="69" t="e">
        <f>G74+#REF!+#REF!</f>
        <v>#REF!</v>
      </c>
      <c r="H218" s="69" t="e">
        <f>H74+#REF!+#REF!</f>
        <v>#REF!</v>
      </c>
      <c r="I218" s="69" t="e">
        <f>I74+#REF!+#REF!</f>
        <v>#REF!</v>
      </c>
      <c r="J218" s="69" t="e">
        <f>J74+#REF!+#REF!</f>
        <v>#REF!</v>
      </c>
      <c r="K218" s="70"/>
    </row>
    <row r="219" spans="2:11" hidden="1" x14ac:dyDescent="0.25">
      <c r="B219" s="55" t="s">
        <v>3</v>
      </c>
      <c r="C219" s="69" t="e">
        <f>IF(C218=0,"",C218)</f>
        <v>#REF!</v>
      </c>
      <c r="D219" s="68"/>
      <c r="E219" s="69" t="e">
        <f>IF(E218=0,"",E218)</f>
        <v>#REF!</v>
      </c>
      <c r="F219" s="68"/>
      <c r="G219" s="69" t="e">
        <f>IF(G218=0,"",G218)</f>
        <v>#REF!</v>
      </c>
      <c r="H219" s="68"/>
      <c r="I219" s="69" t="e">
        <f>IF(I218=0,"",I218)</f>
        <v>#REF!</v>
      </c>
      <c r="J219" s="68"/>
      <c r="K219" s="69" t="e">
        <f>LOOKUP(2,1/(C219:J219&lt;&gt;""),C219:J219)</f>
        <v>#N/A</v>
      </c>
    </row>
    <row r="220" spans="2:11" hidden="1" x14ac:dyDescent="0.25">
      <c r="B220" s="55" t="s">
        <v>2</v>
      </c>
      <c r="C220" s="55"/>
      <c r="D220" s="69" t="e">
        <f>IF(D218=0,"",D218)</f>
        <v>#REF!</v>
      </c>
      <c r="E220" s="55"/>
      <c r="F220" s="69" t="e">
        <f>IF(F218=0,"",F218)</f>
        <v>#REF!</v>
      </c>
      <c r="G220" s="55"/>
      <c r="H220" s="69" t="e">
        <f>IF(H218=0,"",H218)</f>
        <v>#REF!</v>
      </c>
      <c r="I220" s="55"/>
      <c r="J220" s="69" t="e">
        <f>IF(J218=0,"",J218)</f>
        <v>#REF!</v>
      </c>
      <c r="K220" s="69" t="e">
        <f>LOOKUP(2,1/(C220:J220&lt;&gt;""),C220:J220)</f>
        <v>#N/A</v>
      </c>
    </row>
    <row r="221" spans="2:11" hidden="1" x14ac:dyDescent="0.25"/>
    <row r="222" spans="2:11" hidden="1" x14ac:dyDescent="0.25"/>
  </sheetData>
  <mergeCells count="53">
    <mergeCell ref="B165:L165"/>
    <mergeCell ref="C150:D150"/>
    <mergeCell ref="E150:F150"/>
    <mergeCell ref="G150:H150"/>
    <mergeCell ref="I150:J150"/>
    <mergeCell ref="K150:L150"/>
    <mergeCell ref="C35:D35"/>
    <mergeCell ref="E35:F35"/>
    <mergeCell ref="G35:H35"/>
    <mergeCell ref="I35:J35"/>
    <mergeCell ref="K35:L35"/>
    <mergeCell ref="C187:D187"/>
    <mergeCell ref="E187:F187"/>
    <mergeCell ref="G187:H187"/>
    <mergeCell ref="I187:J187"/>
    <mergeCell ref="K187:L187"/>
    <mergeCell ref="O170:T170"/>
    <mergeCell ref="U170:Z170"/>
    <mergeCell ref="AA170:AF170"/>
    <mergeCell ref="C171:E171"/>
    <mergeCell ref="F171:H171"/>
    <mergeCell ref="I171:K171"/>
    <mergeCell ref="L171:N171"/>
    <mergeCell ref="O171:Q171"/>
    <mergeCell ref="R171:T171"/>
    <mergeCell ref="U171:W171"/>
    <mergeCell ref="C170:H170"/>
    <mergeCell ref="I170:N170"/>
    <mergeCell ref="X171:Z171"/>
    <mergeCell ref="AA171:AC171"/>
    <mergeCell ref="AD171:AF171"/>
    <mergeCell ref="K87:L87"/>
    <mergeCell ref="C134:D134"/>
    <mergeCell ref="E134:F134"/>
    <mergeCell ref="G134:H134"/>
    <mergeCell ref="I134:J134"/>
    <mergeCell ref="K134:L134"/>
    <mergeCell ref="C2:G2"/>
    <mergeCell ref="B196:L196"/>
    <mergeCell ref="C12:D12"/>
    <mergeCell ref="E12:F12"/>
    <mergeCell ref="G12:H12"/>
    <mergeCell ref="I12:J12"/>
    <mergeCell ref="K12:L12"/>
    <mergeCell ref="C120:D120"/>
    <mergeCell ref="E120:F120"/>
    <mergeCell ref="G120:H120"/>
    <mergeCell ref="I120:J120"/>
    <mergeCell ref="K120:L120"/>
    <mergeCell ref="C87:D87"/>
    <mergeCell ref="E87:F87"/>
    <mergeCell ref="G87:H87"/>
    <mergeCell ref="I87:J87"/>
  </mergeCells>
  <conditionalFormatting sqref="C85:J85">
    <cfRule type="expression" dxfId="0" priority="1">
      <formula>ROUND(C85,1)=0</formula>
    </cfRule>
  </conditionalFormatting>
  <dataValidations count="3">
    <dataValidation type="list" allowBlank="1" showInputMessage="1" showErrorMessage="1" sqref="B6">
      <formula1>$V$6:$V$12</formula1>
    </dataValidation>
    <dataValidation type="decimal" operator="greaterThan" allowBlank="1" showInputMessage="1" showErrorMessage="1" sqref="C110:J110 J111">
      <formula1>0</formula1>
    </dataValidation>
    <dataValidation type="list" allowBlank="1" showInputMessage="1" showErrorMessage="1" sqref="C32:J32">
      <formula1>"Yes,No"</formula1>
    </dataValidation>
  </dataValidations>
  <pageMargins left="0.23622047244094499" right="0.17" top="0.51" bottom="0.23" header="0.18" footer="0.17"/>
  <pageSetup paperSize="9" scale="59" fitToWidth="0" fitToHeight="0" orientation="landscape" verticalDpi="1200" r:id="rId1"/>
  <headerFooter>
    <oddFooter>&amp;RQuarterly Format Discom December 2021</oddFooter>
  </headerFooter>
  <colBreaks count="2" manualBreakCount="2">
    <brk id="14" min="169" max="183" man="1"/>
    <brk id="26" min="169" max="1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3.1</vt:lpstr>
      <vt:lpstr>3.2</vt:lpstr>
      <vt:lpstr>'3.2'!Print_Area</vt:lpstr>
      <vt:lpstr>'3.2'!Print_Titles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Parwez Alam</dc:creator>
  <cp:lastModifiedBy>Microsoft</cp:lastModifiedBy>
  <cp:lastPrinted>2021-12-16T11:12:32Z</cp:lastPrinted>
  <dcterms:created xsi:type="dcterms:W3CDTF">2021-08-23T11:45:53Z</dcterms:created>
  <dcterms:modified xsi:type="dcterms:W3CDTF">2022-11-21T07:57:07Z</dcterms:modified>
</cp:coreProperties>
</file>